
<file path=[Content_Types].xml><?xml version="1.0" encoding="utf-8"?>
<Types xmlns="http://schemas.openxmlformats.org/package/2006/content-types">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63.xml" ContentType="application/vnd.openxmlformats-officedocument.spreadsheetml.externalLink+xml"/>
  <Override PartName="/xl/externalLinks/externalLink72.xml" ContentType="application/vnd.openxmlformats-officedocument.spreadsheetml.externalLink+xml"/>
  <Override PartName="/xl/comments4.xml" ContentType="application/vnd.openxmlformats-officedocument.spreadsheetml.comments+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61.xml" ContentType="application/vnd.openxmlformats-officedocument.spreadsheetml.externalLink+xml"/>
  <Override PartName="/xl/externalLinks/externalLink70.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8.xml" ContentType="application/vnd.openxmlformats-officedocument.spreadsheetml.worksheet+xml"/>
  <Override PartName="/xl/worksheets/sheet16.xml" ContentType="application/vnd.openxmlformats-officedocument.spreadsheetml.worksheet+xml"/>
  <Override PartName="/xl/externalLinks/externalLink59.xml" ContentType="application/vnd.openxmlformats-officedocument.spreadsheetml.externalLink+xml"/>
  <Override PartName="/xl/externalLinks/externalLink68.xml" ContentType="application/vnd.openxmlformats-officedocument.spreadsheetml.externalLink+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xl/externalLinks/externalLink71.xml" ContentType="application/vnd.openxmlformats-officedocument.spreadsheetml.externalLink+xml"/>
  <Override PartName="/xl/externalLinks/externalLink73.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1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externalLinks/externalLink69.xml" ContentType="application/vnd.openxmlformats-officedocument.spreadsheetml.externalLink+xml"/>
  <Override PartName="/xl/worksheets/sheet9.xml" ContentType="application/vnd.openxmlformats-officedocument.spreadsheetml.worksheet+xml"/>
  <Override PartName="/xl/worksheets/sheet22.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theme/theme1.xml" ContentType="application/vnd.openxmlformats-officedocument.theme+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20" yWindow="-120" windowWidth="24240" windowHeight="13140" tabRatio="941" firstSheet="1" activeTab="1"/>
  </bookViews>
  <sheets>
    <sheet name="StartUp" sheetId="8" state="hidden" r:id="rId1"/>
    <sheet name="Biểu 1 Chi tiết" sheetId="94" r:id="rId2"/>
    <sheet name="Ptich ngluc" sheetId="78" state="hidden" r:id="rId3"/>
    <sheet name="Huy dong" sheetId="76" state="hidden" r:id="rId4"/>
    <sheet name="Biểu 2 phân nguồn" sheetId="96" r:id="rId5"/>
    <sheet name="Biểu 03" sheetId="129" r:id="rId6"/>
    <sheet name="SN GN" sheetId="122" state="hidden" r:id="rId7"/>
    <sheet name="DT GNBV" sheetId="119" state="hidden" r:id="rId8"/>
    <sheet name="SN GNBV" sheetId="128" state="hidden" r:id="rId9"/>
    <sheet name="NTM" sheetId="117" state="hidden" r:id="rId10"/>
    <sheet name="KM" sheetId="102" state="hidden" r:id="rId11"/>
    <sheet name="GTNT" sheetId="103" state="hidden" r:id="rId12"/>
    <sheet name="Cầu" sheetId="104" state="hidden" r:id="rId13"/>
    <sheet name="LB" sheetId="105" state="hidden" r:id="rId14"/>
    <sheet name="NH" sheetId="116" state="hidden" r:id="rId15"/>
    <sheet name="CH" sheetId="109" state="hidden" r:id="rId16"/>
    <sheet name="YS" sheetId="123" state="hidden" r:id="rId17"/>
    <sheet name="HY" sheetId="108" state="hidden" r:id="rId18"/>
    <sheet name="TC huyen HY" sheetId="115" state="hidden" r:id="rId19"/>
    <sheet name="SD" sheetId="111" state="hidden" r:id="rId20"/>
    <sheet name="Tín dụng" sheetId="120" state="hidden" r:id="rId21"/>
    <sheet name="Điện" sheetId="121"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'[1]PNT-QUOT-#3'!#REF!</definedName>
    <definedName name="\c">'[2]FUC-01'!#REF!</definedName>
    <definedName name="\d">'[2]FUC-01'!#REF!</definedName>
    <definedName name="\e">'[2]FUC-01'!#REF!</definedName>
    <definedName name="\f">#REF!</definedName>
    <definedName name="\g">#REF!</definedName>
    <definedName name="\h">#REF!</definedName>
    <definedName name="\i">'[2]FUC-01'!#REF!</definedName>
    <definedName name="\j">'[2]FUC-01'!#REF!</definedName>
    <definedName name="\k">#REF!</definedName>
    <definedName name="\l">#REF!</definedName>
    <definedName name="\m">#REF!</definedName>
    <definedName name="\n">#REF!</definedName>
    <definedName name="\o">#REF!</definedName>
    <definedName name="\v">'[2]FUC-01'!#REF!</definedName>
    <definedName name="\z">'[1]COAT&amp;WRAP-QIOT-#3'!#REF!</definedName>
    <definedName name="_1">#N/A</definedName>
    <definedName name="_1000A01">#N/A</definedName>
    <definedName name="_2">#N/A</definedName>
    <definedName name="_40x4">5100</definedName>
    <definedName name="_A65700">'[3]MTO REV.2(ARMOR)'!#REF!</definedName>
    <definedName name="_A65800">'[3]MTO REV.2(ARMOR)'!#REF!</definedName>
    <definedName name="_A66000">'[3]MTO REV.2(ARMOR)'!#REF!</definedName>
    <definedName name="_A67000">'[3]MTO REV.2(ARMOR)'!#REF!</definedName>
    <definedName name="_A68000">'[3]MTO REV.2(ARMOR)'!#REF!</definedName>
    <definedName name="_A70000">'[3]MTO REV.2(ARMOR)'!#REF!</definedName>
    <definedName name="_A75000">'[3]MTO REV.2(ARMOR)'!#REF!</definedName>
    <definedName name="_A85000">'[3]MTO REV.2(ARMOR)'!#REF!</definedName>
    <definedName name="_abb91">[4]chitimc!#REF!</definedName>
    <definedName name="_Bia2">'[5]DI-ESTI'!$A$8:$R$489</definedName>
    <definedName name="_boi1">#REF!</definedName>
    <definedName name="_boi2">#REF!</definedName>
    <definedName name="_boi3">#REF!</definedName>
    <definedName name="_boi4">#REF!</definedName>
    <definedName name="_btm10">#REF!</definedName>
    <definedName name="_CON1">#REF!</definedName>
    <definedName name="_CON2">#REF!</definedName>
    <definedName name="_CT250">'[6]dongia (2)'!#REF!</definedName>
    <definedName name="_dgt100">'[6]dongia (2)'!#REF!</definedName>
    <definedName name="_Fill" hidden="1">#REF!</definedName>
    <definedName name="_xlnm._FilterDatabase" localSheetId="1" hidden="1">'Biểu 1 Chi tiết'!$A$29:$V$264</definedName>
    <definedName name="_xlnm._FilterDatabase" localSheetId="4" hidden="1">'Biểu 2 phân nguồn'!$A$7:$T$30</definedName>
    <definedName name="_xlnm._FilterDatabase" localSheetId="14" hidden="1">NH!$A$9:$AH$92</definedName>
    <definedName name="_xlnm._FilterDatabase" localSheetId="16" hidden="1">YS!$A$11:$X$11</definedName>
    <definedName name="_hom2">#REF!</definedName>
    <definedName name="_hom4">[7]sheet12!#REF!</definedName>
    <definedName name="_Key1" hidden="1">#REF!</definedName>
    <definedName name="_Key2" hidden="1">#REF!</definedName>
    <definedName name="_KM188">#REF!</definedName>
    <definedName name="_km189">#REF!</definedName>
    <definedName name="_km193">#REF!</definedName>
    <definedName name="_km194">#REF!</definedName>
    <definedName name="_km195">#REF!</definedName>
    <definedName name="_km196">#REF!</definedName>
    <definedName name="_km197">#REF!</definedName>
    <definedName name="_km198">#REF!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ptk89">[8]th¸mo!#REF!</definedName>
    <definedName name="_sat12">'[9]Bang chiet tinh TBA'!#REF!</definedName>
    <definedName name="_Sat27">'[9]Chiet tinh DZ 22'!#REF!</definedName>
    <definedName name="_Sat6">'[9]Chiet tinh DZ 22'!#REF!</definedName>
    <definedName name="_SN3">#REF!</definedName>
    <definedName name="_Sort" hidden="1">#REF!</definedName>
    <definedName name="_sua20">#REF!</definedName>
    <definedName name="_sua30">#REF!</definedName>
    <definedName name="_TL3">#REF!</definedName>
    <definedName name="_TH1">#REF!</definedName>
    <definedName name="_th100">'[6]dongia (2)'!#REF!</definedName>
    <definedName name="_TH160">'[6]dongia (2)'!#REF!</definedName>
    <definedName name="_TH2">#REF!</definedName>
    <definedName name="_TH3">#REF!</definedName>
    <definedName name="_TR250">'[6]dongia (2)'!#REF!</definedName>
    <definedName name="_tr375">[6]giathanh1!#REF!</definedName>
    <definedName name="_un76">[8]th¸mo!#REF!</definedName>
    <definedName name="_VL100">#REF!</definedName>
    <definedName name="_VL200">#REF!</definedName>
    <definedName name="_VL250">#REF!</definedName>
    <definedName name="A" localSheetId="16">'[1]PNT-QUOT-#3'!#REF!</definedName>
    <definedName name="a">'[10]Bieu 02'!#REF!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AA">'[11]MTL$-INTER'!#REF!</definedName>
    <definedName name="abc">#REF!</definedName>
    <definedName name="ãc">[8]th¸mo!#REF!</definedName>
    <definedName name="AC120_">#REF!</definedName>
    <definedName name="AC35_">#REF!</definedName>
    <definedName name="AC50_">#REF!</definedName>
    <definedName name="AC70_">#REF!</definedName>
    <definedName name="AC95_">#REF!</definedName>
    <definedName name="ag142X42">[4]chitimc!#REF!</definedName>
    <definedName name="ag267N59">[4]chitimc!#REF!</definedName>
    <definedName name="All_Item">#REF!</definedName>
    <definedName name="ALPIN">#N/A</definedName>
    <definedName name="ALPJYOU">#N/A</definedName>
    <definedName name="ALPTOI">#N/A</definedName>
    <definedName name="B">'[1]PNT-QUOT-#3'!#REF!</definedName>
    <definedName name="b_240">'[6]THPDMoi  (2)'!#REF!</definedName>
    <definedName name="b_280">'[6]THPDMoi  (2)'!#REF!</definedName>
    <definedName name="b_320">'[6]THPDMoi  (2)'!#REF!</definedName>
    <definedName name="BANG_CHI_TIET_THI_NGHIEM_DZ0.4KV">#REF!</definedName>
    <definedName name="BANG_CHI_TIET_THI_NGHIEM_DZ22KV">'[12]PHAN DS 22 KV'!#REF!</definedName>
    <definedName name="BANG_TONG_HOP_DZ0.4KV">#REF!</definedName>
    <definedName name="BANG_TONG_HOP_KHO_BAI">#REF!</definedName>
    <definedName name="BANG_TONG_HOP_TBA">#REF!</definedName>
    <definedName name="bangciti">'[6]dongia (2)'!#REF!</definedName>
    <definedName name="BB">#REF!</definedName>
    <definedName name="bdht15nc">[6]gtrinh!#REF!</definedName>
    <definedName name="bdht15vl">[6]gtrinh!#REF!</definedName>
    <definedName name="bdht25nc">[6]gtrinh!#REF!</definedName>
    <definedName name="bdht25vl">[6]gtrinh!#REF!</definedName>
    <definedName name="bdht325nc">[6]gtrinh!#REF!</definedName>
    <definedName name="bdht325vl">[6]gtrinh!#REF!</definedName>
    <definedName name="betong200">'[13]TT-35KV+TBA'!#REF!</definedName>
    <definedName name="BetongM150">'[14]chiet tinh'!$B$18:$D$23,'[14]chiet tinh'!$F$18:$F$23</definedName>
    <definedName name="BetongM200">'[14]chiet tinh'!$B$35:$D$39,'[14]chiet tinh'!$F$35:$F$39</definedName>
    <definedName name="BetongM50">'[14]chiet tinh'!$B$6:$D$8,'[14]chiet tinh'!$F$6:$F$8</definedName>
    <definedName name="bia">'[15]DI-ESTI'!$A$8:$R$489</definedName>
    <definedName name="bit">[8]th¸mo!#REF!</definedName>
    <definedName name="blop">[7]sheet12!#REF!</definedName>
    <definedName name="Book2">#REF!</definedName>
    <definedName name="BOQ">#REF!</definedName>
    <definedName name="BT">#REF!</definedName>
    <definedName name="BU_CHENH_LECH_TBA">#REF!</definedName>
    <definedName name="Bulongma">8700</definedName>
    <definedName name="buoc">'[9]Chiet tinh DZ 22'!#REF!</definedName>
    <definedName name="BVCISUMMARY">#REF!</definedName>
    <definedName name="BŸo_cŸo_täng_hìp_giŸ_trÙ_t_i_s_n_câ__Ùnh">#REF!</definedName>
    <definedName name="C_">'[2]FUC-01'!#REF!</definedName>
    <definedName name="ca.1111">#REF!</definedName>
    <definedName name="ca.1111.th">#REF!</definedName>
    <definedName name="CABLE2">'[16]MTO REV.0'!$A$1:$Q$570</definedName>
    <definedName name="CACAU">298161</definedName>
    <definedName name="CAP_DIEN_AP">'[17]DLC DIEN AP'!$B$5:$F$9</definedName>
    <definedName name="CAPDAT">[6]phuluc1!#REF!</definedName>
    <definedName name="Category_All">#REF!</definedName>
    <definedName name="CATIN">#N/A</definedName>
    <definedName name="CATJYOU">#N/A</definedName>
    <definedName name="CATSYU">#N/A</definedName>
    <definedName name="CatVang_HamYen">[18]T.Tinh!#REF!</definedName>
    <definedName name="CATREC">#N/A</definedName>
    <definedName name="cc">[8]th¸mo!#REF!</definedName>
    <definedName name="CCS">#REF!</definedName>
    <definedName name="CDD">#REF!</definedName>
    <definedName name="CDDD">'[6]THPDMoi  (2)'!#REF!</definedName>
    <definedName name="cg">[8]th¸mo!#REF!</definedName>
    <definedName name="cgionc">'[6]lam-moi'!#REF!</definedName>
    <definedName name="cgiovl">'[6]lam-moi'!#REF!</definedName>
    <definedName name="citidd">'[6]dongia (2)'!#REF!</definedName>
    <definedName name="cknc">'[6]lam-moi'!#REF!</definedName>
    <definedName name="ckvl">'[6]lam-moi'!#REF!</definedName>
    <definedName name="Clech_o.4">'[19]Bu CL'!#REF!</definedName>
    <definedName name="CLVC3">0.1</definedName>
    <definedName name="clvl">#REF!</definedName>
    <definedName name="cm">[8]th¸mo!#REF!</definedName>
    <definedName name="CNC">#REF!</definedName>
    <definedName name="CND">#REF!</definedName>
    <definedName name="CNG">#REF!</definedName>
    <definedName name="co">[8]th¸mo!#REF!</definedName>
    <definedName name="COAT">'[1]PNT-QUOT-#3'!#REF!</definedName>
    <definedName name="COMMON">#REF!</definedName>
    <definedName name="con">[8]th¸mo!#REF!</definedName>
    <definedName name="CON_EQP_COS">#REF!</definedName>
    <definedName name="CON_EQP_COST">#REF!</definedName>
    <definedName name="CONST_EQ">#REF!</definedName>
    <definedName name="cong1x15">[6]giathanh1!#REF!</definedName>
    <definedName name="COT">#REF!</definedName>
    <definedName name="cot7.5">#REF!</definedName>
    <definedName name="cot8.5">#REF!</definedName>
    <definedName name="Cotsatma">9726</definedName>
    <definedName name="Cotthepma">9726</definedName>
    <definedName name="COVER">#REF!</definedName>
    <definedName name="cpc">#REF!</definedName>
    <definedName name="cpmtc">#REF!</definedName>
    <definedName name="cpnc">#REF!</definedName>
    <definedName name="CPTKE">[20]TKP!#REF!</definedName>
    <definedName name="cptt">#REF!</definedName>
    <definedName name="cpvl">#REF!</definedName>
    <definedName name="cr">[8]th¸mo!#REF!</definedName>
    <definedName name="CRD">#REF!</definedName>
    <definedName name="_xlnm.Criteria">[21]SILICATE!#REF!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t">[8]th¸mo!#REF!</definedName>
    <definedName name="ct">[8]th¸mo!#REF!</definedName>
    <definedName name="ctdg">[22]ctdg!#REF!</definedName>
    <definedName name="ctg">[8]th¸mo!#REF!</definedName>
    <definedName name="cti3x15">[6]giathanh1!#REF!</definedName>
    <definedName name="ctkr">[8]th¸mo!#REF!</definedName>
    <definedName name="cto">[23]THCT!#REF!</definedName>
    <definedName name="CU_LY_VAN_CHUYEN_GIA_QUYEN">#REF!</definedName>
    <definedName name="culy1">[6]DONGIA!#REF!</definedName>
    <definedName name="culy2">[6]DONGIA!#REF!</definedName>
    <definedName name="culy3">[6]DONGIA!#REF!</definedName>
    <definedName name="culy4">[6]DONGIA!#REF!</definedName>
    <definedName name="culy5">[6]DONGIA!#REF!</definedName>
    <definedName name="cuoc">[6]DONGIA!#REF!</definedName>
    <definedName name="CURRENCY">#REF!</definedName>
    <definedName name="cut">[8]th¸mo!#REF!</definedName>
    <definedName name="cx">#REF!</definedName>
    <definedName name="cxhtnc">'[6]lam-moi'!#REF!</definedName>
    <definedName name="cxhtvl">'[6]lam-moi'!#REF!</definedName>
    <definedName name="cxnc">'[6]lam-moi'!#REF!</definedName>
    <definedName name="cxvl">'[6]lam-moi'!#REF!</definedName>
    <definedName name="cxxnc">'[6]lam-moi'!#REF!</definedName>
    <definedName name="cxxvl">'[6]lam-moi'!#REF!</definedName>
    <definedName name="chhtnc">'[6]lam-moi'!#REF!</definedName>
    <definedName name="chhtvl">'[6]lam-moi'!#REF!</definedName>
    <definedName name="chiemhoa">[24]TTVanChuyen!#REF!</definedName>
    <definedName name="chnc">'[6]lam-moi'!#REF!</definedName>
    <definedName name="chon">#REF!</definedName>
    <definedName name="chon1">#REF!</definedName>
    <definedName name="chon2">#REF!</definedName>
    <definedName name="chon3">#REF!</definedName>
    <definedName name="chvl">'[6]lam-moi'!#REF!</definedName>
    <definedName name="D">'[2]FUC-01'!#REF!</definedName>
    <definedName name="D_7101A_B">#REF!</definedName>
    <definedName name="D_Gia">'[25]Don gia'!$A$3:$F$240</definedName>
    <definedName name="D1x49">[4]chitimc!#REF!</definedName>
    <definedName name="D1x49x49">[4]chitimc!#REF!</definedName>
    <definedName name="d1x6">[7]sheet12!#REF!</definedName>
    <definedName name="d24nc">'[6]lam-moi'!#REF!</definedName>
    <definedName name="d24vl">'[6]lam-moi'!#REF!</definedName>
    <definedName name="da1x2">[26]TTDZ22!#REF!</definedName>
    <definedName name="da2x4">[26]TTDZ22!#REF!</definedName>
    <definedName name="da4x6">'[27]chiet tinh TBA'!#REF!</definedName>
    <definedName name="DAT">#REF!</definedName>
    <definedName name="_xlnm.Database" hidden="1">#REF!</definedName>
    <definedName name="DataFilter">[28]!DataFilter</definedName>
    <definedName name="DataSort">[28]!DataSort</definedName>
    <definedName name="DCL_22">12117600</definedName>
    <definedName name="DCL_35">25490000</definedName>
    <definedName name="dd">[8]th¸mo!#REF!</definedName>
    <definedName name="dd3pctnc">'[6]lam-moi'!#REF!</definedName>
    <definedName name="dd3pctvl">'[6]lam-moi'!#REF!</definedName>
    <definedName name="dd3plmvl">'[6]lam-moi'!#REF!</definedName>
    <definedName name="dd3pnc">'[6]lam-moi'!#REF!</definedName>
    <definedName name="dd3pvl">'[6]lam-moi'!#REF!</definedName>
    <definedName name="ddhtnc">'[6]lam-moi'!#REF!</definedName>
    <definedName name="ddhtvl">'[6]lam-moi'!#REF!</definedName>
    <definedName name="DDK">'[29]CT-35'!$A$2:$M$427</definedName>
    <definedName name="ddt2nc">[6]gtrinh!#REF!</definedName>
    <definedName name="ddt2vl">[6]gtrinh!#REF!</definedName>
    <definedName name="ddtd3pnc">'[6]thao-go'!#REF!</definedName>
    <definedName name="ddtt1pnc">[6]gtrinh!#REF!</definedName>
    <definedName name="ddtt1pvl">[6]gtrinh!#REF!</definedName>
    <definedName name="ddtt3pnc">[6]gtrinh!#REF!</definedName>
    <definedName name="ddtt3pvl">[6]gtrinh!#REF!</definedName>
    <definedName name="denbu">#REF!</definedName>
    <definedName name="det">[26]TTDZ22!#REF!</definedName>
    <definedName name="Det32x3">#REF!</definedName>
    <definedName name="Det35x3">#REF!</definedName>
    <definedName name="Det40x4">#REF!</definedName>
    <definedName name="Det50x5">#REF!</definedName>
    <definedName name="Det63x6">#REF!</definedName>
    <definedName name="Det75x6">#REF!</definedName>
    <definedName name="DG">'[25]Don gia'!$B$3:$G$195</definedName>
    <definedName name="dgbdII">#REF!</definedName>
    <definedName name="DGM">[6]DONGIA!$A$453:$F$459</definedName>
    <definedName name="dgnc">#REF!</definedName>
    <definedName name="dgqndn">#REF!</definedName>
    <definedName name="DGTH">[6]DONGIA!#REF!</definedName>
    <definedName name="DGTH1">[6]DONGIA!$A$414:$G$452</definedName>
    <definedName name="dgth2">[6]DONGIA!$A$414:$G$439</definedName>
    <definedName name="DGTR">[6]DONGIA!$A$472:$I$521</definedName>
    <definedName name="dgvl">#REF!</definedName>
    <definedName name="DGVL1">[6]DONGIA!$A$5:$F$235</definedName>
    <definedName name="DGVT">'[6]DON GIA'!$C$5:$G$137</definedName>
    <definedName name="DGIA">[30]DGIAgoi1!$B$3:$H$202</definedName>
    <definedName name="dhom">#REF!</definedName>
    <definedName name="dl">[31]CTinh!$A$3:$M$580</definedName>
    <definedName name="DL15HT">'[6]TONGKE-HT'!#REF!</definedName>
    <definedName name="DL16HT">'[6]TONGKE-HT'!#REF!</definedName>
    <definedName name="DL19HT">'[6]TONGKE-HT'!#REF!</definedName>
    <definedName name="DL20HT">'[6]TONGKE-HT'!#REF!</definedName>
    <definedName name="dm56bxd">#REF!</definedName>
    <definedName name="DN">#REF!</definedName>
    <definedName name="DÑt45x4">#REF!</definedName>
    <definedName name="Document_array">{"Book1","CuaRao.xls","huong kho.xls"}</definedName>
    <definedName name="Documents_array">#REF!</definedName>
    <definedName name="DON_GIA_3282">#REF!</definedName>
    <definedName name="DON_GIA_3283">#REF!</definedName>
    <definedName name="dongia">'[32]VL,NC,MTC'!$B$4:$E$63</definedName>
    <definedName name="dongia1">[6]DG!$A$4:$H$606</definedName>
    <definedName name="dp">[8]th¸mo!#REF!</definedName>
    <definedName name="ds3pnc">#REF!</definedName>
    <definedName name="ds3pvl">#REF!</definedName>
    <definedName name="dsct3pnc">'[6]#REF'!#REF!</definedName>
    <definedName name="dsct3pvl">'[6]#REF'!#REF!</definedName>
    <definedName name="DSUMDATA">#REF!</definedName>
    <definedName name="DU_TOAN_CHI_TIET_DZ0.4KV">'[12]chi tiet C'!#REF!</definedName>
    <definedName name="DU_TOAN_CHI_TIET_KHO_BAI">#REF!</definedName>
    <definedName name="DU_TOAN_CHI_TIET_TBA">'[33]chi tiet TBA'!$A$1:$B$1</definedName>
    <definedName name="duong04">'[23]THDZ0,4'!#REF!</definedName>
    <definedName name="duong1">[6]DONGIA!#REF!</definedName>
    <definedName name="duong2">[6]DONGIA!#REF!</definedName>
    <definedName name="duong3">[6]DONGIA!#REF!</definedName>
    <definedName name="duong35">'[23]TH DZ35'!#REF!</definedName>
    <definedName name="duong4">[6]DONGIA!#REF!</definedName>
    <definedName name="duong5">[6]DONGIA!#REF!</definedName>
    <definedName name="DutoanDongmo">#REF!</definedName>
    <definedName name="dy">[8]th¸mo!#REF!</definedName>
    <definedName name="DZ6gd1">'[34]CTDZ6kv (gd1) '!$B$7:$J$175</definedName>
    <definedName name="dzgd1">'[34]CTDZ 0.4+cto (GD1)'!$A$7:$I$94</definedName>
    <definedName name="E">'[2]FUC-01'!#REF!</definedName>
    <definedName name="_xlnm.Extract">[21]SILICATE!#REF!</definedName>
    <definedName name="f">#REF!</definedName>
    <definedName name="f92F56">[35]dtxl!#REF!</definedName>
    <definedName name="FACTOR">#REF!</definedName>
    <definedName name="fgt">[36]t.so!#REF!</definedName>
    <definedName name="FI_12">4820</definedName>
    <definedName name="FP">'[1]COAT&amp;WRAP-QIOT-#3'!#REF!</definedName>
    <definedName name="G">'[37]DG '!#REF!</definedName>
    <definedName name="g40g40">[38]tuong!#REF!</definedName>
    <definedName name="gcscl">[39]th¸mo!#REF!</definedName>
    <definedName name="ghip">#REF!</definedName>
    <definedName name="gl">[8]th¸mo!#REF!</definedName>
    <definedName name="Go">[18]T.Tinh!#REF!</definedName>
    <definedName name="GoBack">[28]Sheet1!GoBack</definedName>
    <definedName name="goc">'[27]chiet tinh TBA'!#REF!</definedName>
    <definedName name="Goc50x5">#REF!</definedName>
    <definedName name="GPT_GROUNDING_PT">'[40]NEW-PANEL'!#REF!</definedName>
    <definedName name="gr">[8]th¸mo!#REF!</definedName>
    <definedName name="gtst">#REF!</definedName>
    <definedName name="giacong">[26]TTDZ22!#REF!</definedName>
    <definedName name="gipa5">[7]sheet12!#REF!</definedName>
    <definedName name="h" hidden="1">{"'Sheet1'!$L$16"}</definedName>
    <definedName name="h7.5">[7]sheet12!#REF!</definedName>
    <definedName name="h8.5">[7]sheet12!#REF!</definedName>
    <definedName name="Ha">#REF!</definedName>
    <definedName name="Hamyen">[24]TTVanChuyen!#REF!</definedName>
    <definedName name="HCM">#REF!</definedName>
    <definedName name="hd">[39]th¸mo!#REF!</definedName>
    <definedName name="HE_SO_KHO_KHAN_CANG_DAY">#REF!</definedName>
    <definedName name="Heä_soá_laép_xaø_H">1.7</definedName>
    <definedName name="heä_soá_sình_laày">#REF!</definedName>
    <definedName name="HH15HT">'[6]TONGKE-HT'!#REF!</definedName>
    <definedName name="HH16HT">'[6]TONGKE-HT'!#REF!</definedName>
    <definedName name="HH19HT">'[6]TONGKE-HT'!#REF!</definedName>
    <definedName name="HH20HT">'[6]TONGKE-HT'!#REF!</definedName>
    <definedName name="hhcv">[41]TTTram!#REF!</definedName>
    <definedName name="hhda4x6">[41]TTTram!#REF!</definedName>
    <definedName name="hhsc">[42]TT35!#REF!</definedName>
    <definedName name="hhtd">[42]TT35!#REF!</definedName>
    <definedName name="HOME_MANP">#REF!</definedName>
    <definedName name="HOMEOFFICE_COST">#REF!</definedName>
    <definedName name="HSBDVC">[17]HSKVUC!$B$28:$H$35</definedName>
    <definedName name="HSCT3">0.1</definedName>
    <definedName name="HSDD">[6]phuluc1!#REF!</definedName>
    <definedName name="HSDN">2.5</definedName>
    <definedName name="HSKVXL_MTC">[17]HSKVUC!$B$20:$J$21</definedName>
    <definedName name="HSKVXL_NC">[17]HSKVUC!$B$7:$J$14</definedName>
    <definedName name="hßm4">#REF!</definedName>
    <definedName name="HSVC3">#REF!</definedName>
    <definedName name="HsVCVLTH">[43]PhaDoMong!#REF!</definedName>
    <definedName name="HT">#REF!</definedName>
    <definedName name="ht25nc">'[6]lam-moi'!#REF!</definedName>
    <definedName name="ht25vl">'[6]lam-moi'!#REF!</definedName>
    <definedName name="ht325nc">'[6]lam-moi'!#REF!</definedName>
    <definedName name="ht325vl">'[6]lam-moi'!#REF!</definedName>
    <definedName name="ht37k">'[6]lam-moi'!#REF!</definedName>
    <definedName name="ht37nc">'[6]lam-moi'!#REF!</definedName>
    <definedName name="ht50nc">'[6]lam-moi'!#REF!</definedName>
    <definedName name="ht50vl">'[6]lam-moi'!#REF!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I2É6">[4]chitimc!#REF!</definedName>
    <definedName name="IDLAB_COST">#REF!</definedName>
    <definedName name="IND_LAB">#REF!</definedName>
    <definedName name="INDMANP">#REF!</definedName>
    <definedName name="IO">'[1]COAT&amp;WRAP-QIOT-#3'!#REF!</definedName>
    <definedName name="it">[8]th¸mo!#REF!</definedName>
    <definedName name="j">#REF!</definedName>
    <definedName name="k">#REF!</definedName>
    <definedName name="k14s">[4]chitimc!#REF!</definedName>
    <definedName name="k2b">'[6]THPDMoi  (2)'!#REF!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dd1p">'[6]#REF'!#REF!</definedName>
    <definedName name="kldd3p">'[6]lam-moi'!#REF!</definedName>
    <definedName name="kmong">[6]giathanh1!#REF!</definedName>
    <definedName name="kp1ph">#REF!</definedName>
    <definedName name="KTHD">'[44]khung ten TD'!#REF!</definedName>
    <definedName name="KHOI_LUONG_DAT_DAO_DAP">#REF!</definedName>
    <definedName name="L63x6">5800</definedName>
    <definedName name="lan">#REF!</definedName>
    <definedName name="langcan" localSheetId="14">NH!#REF!</definedName>
    <definedName name="langcan" localSheetId="16">YS!#REF!</definedName>
    <definedName name="langcan">#REF!</definedName>
    <definedName name="LAP_DAT_TBA">#REF!</definedName>
    <definedName name="Lap_dat_td">'[45]M 67'!$A$37:$F$40</definedName>
    <definedName name="LBS_22">107800000</definedName>
    <definedName name="lntt">#REF!</definedName>
    <definedName name="m" hidden="1">{"'Sheet1'!$L$16"}</definedName>
    <definedName name="M0.4">#REF!</definedName>
    <definedName name="m102bnnc">'[6]lam-moi'!#REF!</definedName>
    <definedName name="m102bnvl">'[6]lam-moi'!#REF!</definedName>
    <definedName name="m10aamtc">'[6]t-h HA THE'!#REF!</definedName>
    <definedName name="m10aanc">'[6]lam-moi'!#REF!</definedName>
    <definedName name="m10aavl">'[6]lam-moi'!#REF!</definedName>
    <definedName name="m10anc">'[6]lam-moi'!#REF!</definedName>
    <definedName name="m10avl">'[6]lam-moi'!#REF!</definedName>
    <definedName name="m10banc">'[6]lam-moi'!#REF!</definedName>
    <definedName name="m10bavl">'[6]lam-moi'!#REF!</definedName>
    <definedName name="m122bnnc">'[6]lam-moi'!#REF!</definedName>
    <definedName name="m122bnvl">'[6]lam-moi'!#REF!</definedName>
    <definedName name="m12aanc">'[6]lam-moi'!#REF!</definedName>
    <definedName name="m12aavl">'[6]lam-moi'!#REF!</definedName>
    <definedName name="m12anc">'[6]lam-moi'!#REF!</definedName>
    <definedName name="m12avl">'[6]lam-moi'!#REF!</definedName>
    <definedName name="m12banc">'[6]lam-moi'!#REF!</definedName>
    <definedName name="m12bavl">'[6]lam-moi'!#REF!</definedName>
    <definedName name="m12bbnc">'[6]lam-moi'!#REF!</definedName>
    <definedName name="m12bbvl">'[6]lam-moi'!#REF!</definedName>
    <definedName name="M12bnnc">'[6]#REF'!#REF!</definedName>
    <definedName name="M12bnvl">'[6]#REF'!#REF!</definedName>
    <definedName name="M12cbnc">#REF!</definedName>
    <definedName name="M12cbvl">#REF!</definedName>
    <definedName name="m142bnnc">'[6]lam-moi'!#REF!</definedName>
    <definedName name="m142bnvl">'[6]lam-moi'!#REF!</definedName>
    <definedName name="m14bbnc">'[6]lam-moi'!#REF!</definedName>
    <definedName name="M14bbvc">'[6]CHITIET VL-NC-TT -1p'!#REF!</definedName>
    <definedName name="m14bbvl">'[6]lam-moi'!#REF!</definedName>
    <definedName name="M8a">'[6]THPDMoi  (2)'!#REF!</definedName>
    <definedName name="M8aa">'[6]THPDMoi  (2)'!#REF!</definedName>
    <definedName name="m8amtc">'[6]t-h HA THE'!#REF!</definedName>
    <definedName name="m8anc">'[6]lam-moi'!#REF!</definedName>
    <definedName name="m8avl">'[6]lam-moi'!#REF!</definedName>
    <definedName name="MAJ_CON_EQP">#REF!</definedName>
    <definedName name="MAT">'[1]COAT&amp;WRAP-QIOT-#3'!#REF!</definedName>
    <definedName name="mbnc">'[6]lam-moi'!#REF!</definedName>
    <definedName name="mbvl">'[6]lam-moi'!#REF!</definedName>
    <definedName name="mc">#REF!</definedName>
    <definedName name="MF">'[1]COAT&amp;WRAP-QIOT-#3'!#REF!</definedName>
    <definedName name="mgh">[46]dtxl!#REF!</definedName>
    <definedName name="mhd">[8]th¸mo!#REF!</definedName>
    <definedName name="mmm">[6]giathanh1!#REF!</definedName>
    <definedName name="MN">#REF!</definedName>
    <definedName name="mp1x25">'[6]dongia (2)'!#REF!</definedName>
    <definedName name="MTC1P">'[6]TONG HOP VL-NC TT'!#REF!</definedName>
    <definedName name="MTC3P">'[6]TONG HOP VL-NC TT'!#REF!</definedName>
    <definedName name="mtcdg">#REF!</definedName>
    <definedName name="MTCMB">'[6]#REF'!#REF!</definedName>
    <definedName name="mtr">'[6]TH XL'!#REF!</definedName>
    <definedName name="myle">#REF!</definedName>
    <definedName name="n">#REF!</definedName>
    <definedName name="n1pig">#REF!</definedName>
    <definedName name="n1pignc">'[6]lam-moi'!#REF!</definedName>
    <definedName name="n1pigvl">'[6]lam-moi'!#REF!</definedName>
    <definedName name="n1pind">#REF!</definedName>
    <definedName name="n1pindnc">'[6]lam-moi'!#REF!</definedName>
    <definedName name="n1pindvl">'[6]lam-moi'!#REF!</definedName>
    <definedName name="n1pint">#REF!</definedName>
    <definedName name="n1pintnc">'[6]lam-moi'!#REF!</definedName>
    <definedName name="n1pintvl">'[6]lam-moi'!#REF!</definedName>
    <definedName name="n1ping">#REF!</definedName>
    <definedName name="n1pingnc">'[6]lam-moi'!#REF!</definedName>
    <definedName name="n1pingvl">'[6]lam-moi'!#REF!</definedName>
    <definedName name="n24nc">'[6]lam-moi'!#REF!</definedName>
    <definedName name="n24vl">'[6]lam-moi'!#REF!</definedName>
    <definedName name="n2mignc">'[6]lam-moi'!#REF!</definedName>
    <definedName name="n2migvl">'[6]lam-moi'!#REF!</definedName>
    <definedName name="n2min1nc">'[6]lam-moi'!#REF!</definedName>
    <definedName name="n2min1vl">'[6]lam-moi'!#REF!</definedName>
    <definedName name="nc">#REF!</definedName>
    <definedName name="nc_betong200">'[13]TT-35KV+TBA'!#REF!</definedName>
    <definedName name="nc_btm10">#REF!</definedName>
    <definedName name="nc100a">'[47]CTbe tong'!#REF!</definedName>
    <definedName name="nc1nc">'[6]lam-moi'!#REF!</definedName>
    <definedName name="nc1vl">'[6]lam-moi'!#REF!</definedName>
    <definedName name="nc24nc">'[6]lam-moi'!#REF!</definedName>
    <definedName name="nc24vl">'[6]lam-moi'!#REF!</definedName>
    <definedName name="nc3p">#REF!</definedName>
    <definedName name="NCBD100">#REF!</definedName>
    <definedName name="NCBD200">#REF!</definedName>
    <definedName name="NCBD250">#REF!</definedName>
    <definedName name="ncdd">'[6]TH XL'!#REF!</definedName>
    <definedName name="NCDD2">'[6]TH XL'!#REF!</definedName>
    <definedName name="ncdg">#REF!</definedName>
    <definedName name="NCKT">#REF!</definedName>
    <definedName name="nctr">'[6]TH XL'!#REF!</definedName>
    <definedName name="NET">#REF!</definedName>
    <definedName name="NET_1">#REF!</definedName>
    <definedName name="NET_ANA">#REF!</definedName>
    <definedName name="NET_ANA_1">#REF!</definedName>
    <definedName name="NET_ANA_2">#REF!</definedName>
    <definedName name="newbook">{"Book1","CuaRao.xls","huong kho.xls"}</definedName>
    <definedName name="nig">#REF!</definedName>
    <definedName name="nightnc">[6]gtrinh!#REF!</definedName>
    <definedName name="nightvl">[6]gtrinh!#REF!</definedName>
    <definedName name="nin">#REF!</definedName>
    <definedName name="nin14nc3p">#REF!</definedName>
    <definedName name="nin14vl3p">#REF!</definedName>
    <definedName name="nin190nc">'[6]lam-moi'!#REF!</definedName>
    <definedName name="nin190nc3p">#REF!</definedName>
    <definedName name="nin190vl">'[6]lam-moi'!#REF!</definedName>
    <definedName name="nin190vl3p">#REF!</definedName>
    <definedName name="nin1pnc">'[6]lam-moi'!#REF!</definedName>
    <definedName name="nin1pvl">'[6]lam-moi'!#REF!</definedName>
    <definedName name="nin290nc3p">#REF!</definedName>
    <definedName name="nin290vl3p">#REF!</definedName>
    <definedName name="nind">#REF!</definedName>
    <definedName name="nindnc">'[6]lam-moi'!#REF!</definedName>
    <definedName name="nindnc3p">#REF!</definedName>
    <definedName name="nindvl">'[6]lam-moi'!#REF!</definedName>
    <definedName name="nindvl3p">#REF!</definedName>
    <definedName name="ninnc">'[6]lam-moi'!#REF!</definedName>
    <definedName name="ninnc3p">#REF!</definedName>
    <definedName name="ninvl">'[6]lam-moi'!#REF!</definedName>
    <definedName name="ninvl3p">#REF!</definedName>
    <definedName name="nl">#REF!</definedName>
    <definedName name="NL12nc">'[6]#REF'!#REF!</definedName>
    <definedName name="NL12vl">'[6]#REF'!#REF!</definedName>
    <definedName name="nl1p">#REF!</definedName>
    <definedName name="nlht">'[6]THPDMoi  (2)'!#REF!</definedName>
    <definedName name="nlmtc">'[6]t-h HA THE'!#REF!</definedName>
    <definedName name="nlnc">'[6]lam-moi'!#REF!</definedName>
    <definedName name="nlvl">'[6]lam-moi'!#REF!</definedName>
    <definedName name="nm">[8]th¸mo!#REF!</definedName>
    <definedName name="nn1p">#REF!</definedName>
    <definedName name="nnnc">'[6]lam-moi'!#REF!</definedName>
    <definedName name="nnnc3p">#REF!</definedName>
    <definedName name="nnvl">'[6]lam-moi'!#REF!</definedName>
    <definedName name="nnvl3p">#REF!</definedName>
    <definedName name="nx">'[6]THPDMoi  (2)'!#REF!</definedName>
    <definedName name="nxmtc">'[6]t-h HA THE'!#REF!</definedName>
    <definedName name="nhanmuc" localSheetId="14">NH!#REF!</definedName>
    <definedName name="nhanmuc" localSheetId="16">YS!#REF!</definedName>
    <definedName name="nhanmuc">'[10]Bieu 02'!#REF!</definedName>
    <definedName name="nhn">#REF!</definedName>
    <definedName name="nhnnc">'[6]lam-moi'!#REF!</definedName>
    <definedName name="nhnvl">'[6]lam-moi'!#REF!</definedName>
    <definedName name="og">[8]th¸mo!#REF!</definedName>
    <definedName name="on">[8]th¸mo!#REF!</definedName>
    <definedName name="ophom">#REF!</definedName>
    <definedName name="osc">'[6]THPDMoi  (2)'!#REF!</definedName>
    <definedName name="ot">[8]th¸mo!#REF!</definedName>
    <definedName name="OTHER_PANEL">'[40]NEW-PANEL'!#REF!</definedName>
    <definedName name="ox">[8]th¸mo!#REF!</definedName>
    <definedName name="P">'[1]PNT-QUOT-#3'!#REF!</definedName>
    <definedName name="PA">#REF!</definedName>
    <definedName name="PEJM">'[1]COAT&amp;WRAP-QIOT-#3'!#REF!</definedName>
    <definedName name="PF">'[1]PNT-QUOT-#3'!#REF!</definedName>
    <definedName name="PL_指示燈___P.B.___REST_P.B._壓扣開關">'[40]NEW-PANEL'!#REF!</definedName>
    <definedName name="PM">[48]IBASE!$AH$16:$AV$110</definedName>
    <definedName name="PRICE">#REF!</definedName>
    <definedName name="PRICE1">#REF!</definedName>
    <definedName name="_xlnm.Print_Area" localSheetId="1">'Biểu 1 Chi tiết'!$A$1:$T$264</definedName>
    <definedName name="_xlnm.Print_Area" localSheetId="4">'Biểu 2 phân nguồn'!$A$1:$R$31</definedName>
    <definedName name="_xlnm.Print_Area" localSheetId="21">Điện!$A$1:$T$19</definedName>
    <definedName name="_xlnm.Print_Area" localSheetId="14">NH!$A$1:$AF$92</definedName>
    <definedName name="_xlnm.Print_Area" localSheetId="20">'Tín dụng'!$A$1:$T$10</definedName>
    <definedName name="_xlnm.Print_Area">#REF!</definedName>
    <definedName name="Print_Area_MI">[49]ESTI.!$A$1:$U$52</definedName>
    <definedName name="_xlnm.Print_Titles" localSheetId="5">'Biểu 03'!$6:$6</definedName>
    <definedName name="_xlnm.Print_Titles" localSheetId="1">'Biểu 1 Chi tiết'!$5:$7</definedName>
    <definedName name="_xlnm.Print_Titles" localSheetId="4">'Biểu 2 phân nguồn'!$5:$7</definedName>
    <definedName name="_xlnm.Print_Titles" localSheetId="21">Điện!$5:$7</definedName>
    <definedName name="_xlnm.Print_Titles" localSheetId="3">'Huy dong'!$5:$8</definedName>
    <definedName name="_xlnm.Print_Titles" localSheetId="9">NTM!$3:$5</definedName>
    <definedName name="_xlnm.Print_Titles" localSheetId="14">NH!$4:$9</definedName>
    <definedName name="_xlnm.Print_Titles" localSheetId="2">'Ptich ngluc'!$5:$7</definedName>
    <definedName name="_xlnm.Print_Titles" localSheetId="20">'Tín dụng'!$5:$7</definedName>
    <definedName name="_xlnm.Print_Titles" localSheetId="16">YS!$6:$11</definedName>
    <definedName name="_xlnm.Print_Titles">#REF!</definedName>
    <definedName name="Print_Titles_MI">#REF!</definedName>
    <definedName name="PRINTA">#REF!</definedName>
    <definedName name="PRINTB">#REF!</definedName>
    <definedName name="PRINTC">#REF!</definedName>
    <definedName name="PROPOSAL">#REF!</definedName>
    <definedName name="PTST">[50]sat!$A$6:$K$38</definedName>
    <definedName name="PTVT">[50]ptvt!$A$6:$X$128</definedName>
    <definedName name="PHAN_DIEN_TBA">#REF!</definedName>
    <definedName name="PHAN_MUA_SAM_DZ0.4KV">#REF!</definedName>
    <definedName name="Phucninh" localSheetId="14">NH!#REF!</definedName>
    <definedName name="Phucninh" localSheetId="16">YS!#REF!</definedName>
    <definedName name="Phucninh">'[10]Bieu 02'!#REF!</definedName>
    <definedName name="phucthinh" localSheetId="14">NH!#REF!</definedName>
    <definedName name="phucthinh" localSheetId="16">YS!#REF!</definedName>
    <definedName name="phucthinh">'[10]Bieu 02'!#REF!</definedName>
    <definedName name="Q">[6]giathanh1!#REF!</definedName>
    <definedName name="qh">[8]th¸mo!#REF!</definedName>
    <definedName name="qhcl">[8]th¸mo!#REF!</definedName>
    <definedName name="qtdm">#REF!</definedName>
    <definedName name="rack1">'[6]THPDMoi  (2)'!#REF!</definedName>
    <definedName name="rack2">'[6]THPDMoi  (2)'!#REF!</definedName>
    <definedName name="rack3">'[6]THPDMoi  (2)'!#REF!</definedName>
    <definedName name="rack4">'[6]THPDMoi  (2)'!#REF!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T">'[1]COAT&amp;WRAP-QIOT-#3'!#REF!</definedName>
    <definedName name="San_truoc">[51]tienluong!#REF!</definedName>
    <definedName name="sat">[41]TTTram!#REF!</definedName>
    <definedName name="satCT10">[26]TTDZ22!#REF!</definedName>
    <definedName name="SatCTlon10">[26]TTDZ22!#REF!</definedName>
    <definedName name="SatCThon10">[26]TTDZ22!#REF!</definedName>
    <definedName name="satf10">[26]TTDZ22!#REF!</definedName>
    <definedName name="satf27">[26]TTDZ22!#REF!</definedName>
    <definedName name="satf6">[26]TTDZ22!#REF!</definedName>
    <definedName name="satf8">[26]TTDZ22!#REF!</definedName>
    <definedName name="satt">'[52]Ctinh 10kV'!#REF!</definedName>
    <definedName name="sattron">[26]TTDZ22!#REF!</definedName>
    <definedName name="satu">'[9]Bang chiet tinh TBA'!#REF!</definedName>
    <definedName name="SB">[48]IBASE!$AH$7:$AL$14</definedName>
    <definedName name="scl">[8]th¸mo!#REF!</definedName>
    <definedName name="SCH">#REF!</definedName>
    <definedName name="sd3p">'[6]lam-moi'!#REF!</definedName>
    <definedName name="sdd">[8]th¸mo!#REF!</definedName>
    <definedName name="SDMONG">#REF!</definedName>
    <definedName name="sgnc">[6]gtrinh!#REF!</definedName>
    <definedName name="sgvl">[6]gtrinh!#REF!</definedName>
    <definedName name="sho">#REF!</definedName>
    <definedName name="sht">'[6]THPDMoi  (2)'!#REF!</definedName>
    <definedName name="sht3p">'[6]lam-moi'!#REF!</definedName>
    <definedName name="SIZE">#REF!</definedName>
    <definedName name="SL_CRD">#REF!</definedName>
    <definedName name="SL_CRS">#REF!</definedName>
    <definedName name="SL_CS">#REF!</definedName>
    <definedName name="SL_DD">#REF!</definedName>
    <definedName name="soho">[7]sheet12!#REF!</definedName>
    <definedName name="Soi_HamYen">[18]T.Tinh!#REF!</definedName>
    <definedName name="sonduong">[24]TTVanChuyen!#REF!</definedName>
    <definedName name="Sonnam" localSheetId="14">NH!#REF!</definedName>
    <definedName name="Sonnam" localSheetId="16">YS!#REF!</definedName>
    <definedName name="Sonnam">'[10]Bieu 02'!#REF!</definedName>
    <definedName name="SORT">#REF!</definedName>
    <definedName name="SORT_AREA">'[49]DI-ESTI'!$A$8:$R$489</definedName>
    <definedName name="SP">'[1]PNT-QUOT-#3'!#REF!</definedName>
    <definedName name="SPECSUMMARY">#REF!</definedName>
    <definedName name="spk1p">'[6]#REF'!#REF!</definedName>
    <definedName name="spk3p">'[6]lam-moi'!#REF!</definedName>
    <definedName name="sss">#REF!</definedName>
    <definedName name="st3p">'[6]lam-moi'!#REF!</definedName>
    <definedName name="SU">#REF!</definedName>
    <definedName name="SUMMARY">#REF!</definedName>
    <definedName name="t">#REF!</definedName>
    <definedName name="t101p">#REF!</definedName>
    <definedName name="t103p">#REF!</definedName>
    <definedName name="t105mnc">'[6]thao-go'!#REF!</definedName>
    <definedName name="t10m">'[6]lam-moi'!#REF!</definedName>
    <definedName name="t10nc">'[6]lam-moi'!#REF!</definedName>
    <definedName name="t10ncm">'[6]lam-moi'!#REF!</definedName>
    <definedName name="t10vl">'[6]lam-moi'!#REF!</definedName>
    <definedName name="t121p">#REF!</definedName>
    <definedName name="t123p">#REF!</definedName>
    <definedName name="t12m">'[6]lam-moi'!#REF!</definedName>
    <definedName name="t12mnc">'[6]thao-go'!#REF!</definedName>
    <definedName name="t12nc">'[6]lam-moi'!#REF!</definedName>
    <definedName name="t12ncm">'[6]lam-moi'!#REF!</definedName>
    <definedName name="t12vl">'[6]lam-moi'!#REF!</definedName>
    <definedName name="t141p">#REF!</definedName>
    <definedName name="t143p">#REF!</definedName>
    <definedName name="t14m">'[6]lam-moi'!#REF!</definedName>
    <definedName name="t14mnc">'[6]thao-go'!#REF!</definedName>
    <definedName name="t14nc">'[6]lam-moi'!#REF!</definedName>
    <definedName name="t14ncm">'[6]lam-moi'!#REF!</definedName>
    <definedName name="T14vc">'[6]CHITIET VL-NC-TT -1p'!#REF!</definedName>
    <definedName name="t14vl">'[6]lam-moi'!#REF!</definedName>
    <definedName name="T203P">[6]VC!#REF!</definedName>
    <definedName name="t20m">'[6]lam-moi'!#REF!</definedName>
    <definedName name="t20ncm">'[6]lam-moi'!#REF!</definedName>
    <definedName name="t7m">'[6]THPDMoi  (2)'!#REF!</definedName>
    <definedName name="t7nc">'[6]lam-moi'!#REF!</definedName>
    <definedName name="t7vl">'[6]lam-moi'!#REF!</definedName>
    <definedName name="t84mnc">'[6]thao-go'!#REF!</definedName>
    <definedName name="t8m">'[6]THPDMoi  (2)'!#REF!</definedName>
    <definedName name="t8nc">'[6]lam-moi'!#REF!</definedName>
    <definedName name="t8vl">'[6]lam-moi'!#REF!</definedName>
    <definedName name="TaxTV">10%</definedName>
    <definedName name="TaxXL">5%</definedName>
    <definedName name="TBA">#REF!</definedName>
    <definedName name="tbagd1">'[34]CTTBA (gd1)'!$B$8:$J$53</definedName>
    <definedName name="tbdd1p">'[6]lam-moi'!#REF!</definedName>
    <definedName name="tbdd3p">'[6]lam-moi'!#REF!</definedName>
    <definedName name="tbddsdl">'[6]lam-moi'!#REF!</definedName>
    <definedName name="TBI">'[6]TH XL'!#REF!</definedName>
    <definedName name="tbtr">'[6]TH XL'!#REF!</definedName>
    <definedName name="TC">#REF!</definedName>
    <definedName name="TC_NHANH1">#REF!</definedName>
    <definedName name="tcxxnc">'[6]thao-go'!#REF!</definedName>
    <definedName name="TD">#REF!</definedName>
    <definedName name="td10vl">'[6]#REF'!#REF!</definedName>
    <definedName name="td12nc">'[6]#REF'!#REF!</definedName>
    <definedName name="td1cnc">'[6]lam-moi'!#REF!</definedName>
    <definedName name="td1cvl">'[6]lam-moi'!#REF!</definedName>
    <definedName name="td1p">#REF!</definedName>
    <definedName name="TD1pnc">'[6]CHITIET VL-NC-TT -1p'!#REF!</definedName>
    <definedName name="TD1pvl">'[6]CHITIET VL-NC-TT -1p'!#REF!</definedName>
    <definedName name="td3p">#REF!</definedName>
    <definedName name="tdc84nc">'[6]thao-go'!#REF!</definedName>
    <definedName name="tdcnc">'[6]thao-go'!#REF!</definedName>
    <definedName name="tdgnc">'[6]lam-moi'!#REF!</definedName>
    <definedName name="tdgvl">'[6]lam-moi'!#REF!</definedName>
    <definedName name="tdhtnc">'[6]lam-moi'!#REF!</definedName>
    <definedName name="tdhtvl">'[6]lam-moi'!#REF!</definedName>
    <definedName name="tdia">#REF!</definedName>
    <definedName name="tdnc">[6]gtrinh!#REF!</definedName>
    <definedName name="tdt">#REF!</definedName>
    <definedName name="tdt1pnc">[6]gtrinh!#REF!</definedName>
    <definedName name="tdt1pvl">[6]gtrinh!#REF!</definedName>
    <definedName name="tdt2cnc">'[6]lam-moi'!#REF!</definedName>
    <definedName name="tdt2cvl">[6]chitiet!#REF!</definedName>
    <definedName name="tdtrnc">[6]gtrinh!#REF!</definedName>
    <definedName name="tdtrvl">[6]gtrinh!#REF!</definedName>
    <definedName name="tdvl">[6]gtrinh!#REF!</definedName>
    <definedName name="tg">[8]th¸mo!#REF!</definedName>
    <definedName name="TIENLUONG">#REF!</definedName>
    <definedName name="Tiepdia">[6]Tiepdia!$A:$IV</definedName>
    <definedName name="Tiepdiama">9500</definedName>
    <definedName name="TIT">#REF!</definedName>
    <definedName name="TITAN">#REF!</definedName>
    <definedName name="tk">#REF!</definedName>
    <definedName name="TKP">#REF!</definedName>
    <definedName name="TL">#REF!</definedName>
    <definedName name="tn">[8]th¸mo!#REF!</definedName>
    <definedName name="tn1pinnc">'[6]thao-go'!#REF!</definedName>
    <definedName name="tn2mhnnc">'[6]thao-go'!#REF!</definedName>
    <definedName name="TNCM">'[6]CHITIET VL-NC-TT-3p'!#REF!</definedName>
    <definedName name="tnignc">'[6]thao-go'!#REF!</definedName>
    <definedName name="tnin190nc">'[6]thao-go'!#REF!</definedName>
    <definedName name="tnlnc">'[6]thao-go'!#REF!</definedName>
    <definedName name="tnnnc">'[6]thao-go'!#REF!</definedName>
    <definedName name="tnhnnc">'[6]thao-go'!#REF!</definedName>
    <definedName name="TONG_GIA_TRI_CONG_TRINH">#REF!</definedName>
    <definedName name="TONG_HOP_THI_NGHIEM_DZ0.4KV">#REF!</definedName>
    <definedName name="TONG_KE_DZ0.4KV">'[53]TONG KE DZ 0.4 KV'!#REF!</definedName>
    <definedName name="TPLRP">#REF!</definedName>
    <definedName name="tt">#REF!</definedName>
    <definedName name="TT_1P">#REF!</definedName>
    <definedName name="TT_3p">#REF!</definedName>
    <definedName name="tt1pnc">'[6]lam-moi'!#REF!</definedName>
    <definedName name="tt1pvl">'[6]lam-moi'!#REF!</definedName>
    <definedName name="tt3pnc">'[6]lam-moi'!#REF!</definedName>
    <definedName name="tt3pvl">'[6]lam-moi'!#REF!</definedName>
    <definedName name="TTDD">[6]TDTKP!$E$44+[6]TDTKP!$F$44+[6]TDTKP!$G$44</definedName>
    <definedName name="TTDD3P">[6]TDTKP1!#REF!</definedName>
    <definedName name="TTDDCT3p">[6]TDTKP1!#REF!</definedName>
    <definedName name="ttkr">[8]th¸mo!#REF!</definedName>
    <definedName name="tx1pignc">'[6]thao-go'!#REF!</definedName>
    <definedName name="tx1pindnc">'[6]thao-go'!#REF!</definedName>
    <definedName name="tx1pintnc">'[6]thao-go'!#REF!</definedName>
    <definedName name="tx1pingnc">'[6]thao-go'!#REF!</definedName>
    <definedName name="tx1pitnc">'[6]thao-go'!#REF!</definedName>
    <definedName name="tx2mhnnc">'[6]thao-go'!#REF!</definedName>
    <definedName name="tx2mitnc">'[6]thao-go'!#REF!</definedName>
    <definedName name="txhnnc">'[6]thao-go'!#REF!</definedName>
    <definedName name="txig1nc">'[6]thao-go'!#REF!</definedName>
    <definedName name="txin190nc">'[6]thao-go'!#REF!</definedName>
    <definedName name="txinnc">'[6]thao-go'!#REF!</definedName>
    <definedName name="txit1nc">'[6]thao-go'!#REF!</definedName>
    <definedName name="th3x15">[6]giathanh1!#REF!</definedName>
    <definedName name="ThaiLong" localSheetId="14">NH!#REF!</definedName>
    <definedName name="ThaiLong" localSheetId="16">YS!#REF!</definedName>
    <definedName name="ThaiLong">'[10]Bieu 02'!#REF!</definedName>
    <definedName name="ThanhXuan110">'[54]KH-Q1,Q2,01'!#REF!</definedName>
    <definedName name="THchon">#REF!</definedName>
    <definedName name="thdt">#REF!</definedName>
    <definedName name="THDT_CT_XOM_NOI">'[55]Du Toan'!#REF!</definedName>
    <definedName name="THDT_HT_DAO_THUONG">#REF!</definedName>
    <definedName name="THDT_HT_XOM_NOI">#REF!</definedName>
    <definedName name="THDT_NPP_XOM_NOI">#REF!</definedName>
    <definedName name="THDT_TBA_XOM_NOI">#REF!</definedName>
    <definedName name="thepbuoc">[26]TTDZ22!#REF!</definedName>
    <definedName name="ThepDet32x3">[18]T.Tinh!#REF!</definedName>
    <definedName name="ThepDet35x3">[18]T.Tinh!#REF!</definedName>
    <definedName name="ThepDet40x4">[18]T.Tinh!#REF!</definedName>
    <definedName name="ThepDet45x4">[18]T.Tinh!#REF!</definedName>
    <definedName name="ThepDet50x5">[18]T.Tinh!#REF!</definedName>
    <definedName name="ThepDet63x6">[18]T.Tinh!#REF!</definedName>
    <definedName name="ThepDet75x6">[18]T.Tinh!#REF!</definedName>
    <definedName name="ThepGoc32x32x3">[18]T.Tinh!#REF!</definedName>
    <definedName name="ThepGoc35x35x3">[18]T.Tinh!#REF!</definedName>
    <definedName name="ThepGoc40x40x4">[18]T.Tinh!#REF!</definedName>
    <definedName name="ThepGoc45x45x4">[18]T.Tinh!#REF!</definedName>
    <definedName name="ThepGoc50x50x5">[18]T.Tinh!#REF!</definedName>
    <definedName name="ThepGoc63x63x6">[18]T.Tinh!#REF!</definedName>
    <definedName name="ThepGoc75x75x6">[18]T.Tinh!#REF!</definedName>
    <definedName name="thepma">10500</definedName>
    <definedName name="ThepTronD10D18">[18]T.Tinh!#REF!</definedName>
    <definedName name="ThepTronD6D8">[18]T.Tinh!#REF!</definedName>
    <definedName name="thepU">[26]TTDZ22!#REF!</definedName>
    <definedName name="thht">#REF!</definedName>
    <definedName name="THK">'[1]COAT&amp;WRAP-QIOT-#3'!#REF!</definedName>
    <definedName name="THKP160">'[6]dongia (2)'!#REF!</definedName>
    <definedName name="thkp3">#REF!</definedName>
    <definedName name="thop">#REF!</definedName>
    <definedName name="thtt">#REF!</definedName>
    <definedName name="thtr15">[6]giathanh1!#REF!</definedName>
    <definedName name="THUYETMINH">[56]ptvt!$A$6:$X$128</definedName>
    <definedName name="TR15HT">'[6]TONGKE-HT'!#REF!</definedName>
    <definedName name="TR16HT">'[6]TONGKE-HT'!#REF!</definedName>
    <definedName name="TR19HT">'[6]TONGKE-HT'!#REF!</definedName>
    <definedName name="tr1x15">[6]giathanh1!#REF!</definedName>
    <definedName name="TR20HT">'[6]TONGKE-HT'!#REF!</definedName>
    <definedName name="tr3x100">'[6]dongia (2)'!#REF!</definedName>
    <definedName name="TRADE2">#REF!</definedName>
    <definedName name="tram">[23]THTram!#REF!</definedName>
    <definedName name="tram100">'[6]dongia (2)'!#REF!</definedName>
    <definedName name="tram1x25">'[6]dongia (2)'!#REF!</definedName>
    <definedName name="TRANSFORMER">'[40]NEW-PANEL'!#REF!</definedName>
    <definedName name="trt">#REF!</definedName>
    <definedName name="tru10mtc">'[6]t-h HA THE'!#REF!</definedName>
    <definedName name="tru8mtc">'[6]t-h HA THE'!#REF!</definedName>
    <definedName name="u">[8]th¸mo!#REF!</definedName>
    <definedName name="ut">[8]th¸mo!#REF!</definedName>
    <definedName name="VAN_CHUYEN_DUONG_DAI_DZ22KV">#REF!</definedName>
    <definedName name="VAN_CHUYEN_DUONG_DAI_TBA">'[12]chi tiet TBA'!#REF!</definedName>
    <definedName name="VAN_TRUNG_CHUYEN_VAT_TU_CHUNG">#REF!</definedName>
    <definedName name="vat">#REF!</definedName>
    <definedName name="VCDD3p">'[6]KPVC-BD '!#REF!</definedName>
    <definedName name="vcsat">'[47]CTDZ 0.4+cto'!#REF!</definedName>
    <definedName name="Vietri">[24]TTVanChuyen!#REF!</definedName>
    <definedName name="vl100a">'[47]CTbe tong'!#REF!</definedName>
    <definedName name="vl3p">#REF!</definedName>
    <definedName name="vldd">'[6]TH XL'!#REF!</definedName>
    <definedName name="vldg">#REF!</definedName>
    <definedName name="VLIEU">#REF!</definedName>
    <definedName name="VLM">#REF!</definedName>
    <definedName name="vltr">'[6]TH XL'!#REF!</definedName>
    <definedName name="vn">[8]th¸mo!#REF!</definedName>
    <definedName name="vt1pbs">'[6]lam-moi'!#REF!</definedName>
    <definedName name="vtbs">'[6]lam-moi'!#REF!</definedName>
    <definedName name="wrn.chi._.tiÆt." hidden="1">{#N/A,#N/A,FALSE,"Chi tiÆt"}</definedName>
    <definedName name="x17dnc">[6]chitiet!#REF!</definedName>
    <definedName name="x17dvl">[6]chitiet!#REF!</definedName>
    <definedName name="x17knc">[6]chitiet!#REF!</definedName>
    <definedName name="x17kvl">[6]chitiet!#REF!</definedName>
    <definedName name="X1pFCOnc">'[6]CHITIET VL-NC-TT -1p'!#REF!</definedName>
    <definedName name="X1pFCOvc">'[6]CHITIET VL-NC-TT -1p'!#REF!</definedName>
    <definedName name="X1pFCOvl">'[6]CHITIET VL-NC-TT -1p'!#REF!</definedName>
    <definedName name="x1pignc">'[6]lam-moi'!#REF!</definedName>
    <definedName name="X1pIGvc">'[6]CHITIET VL-NC-TT -1p'!#REF!</definedName>
    <definedName name="x1pigvl">'[6]lam-moi'!#REF!</definedName>
    <definedName name="x1pind">#REF!</definedName>
    <definedName name="x1pindnc">'[6]lam-moi'!#REF!</definedName>
    <definedName name="x1pindvl">'[6]lam-moi'!#REF!</definedName>
    <definedName name="x1pint">#REF!</definedName>
    <definedName name="x1pintnc">'[6]lam-moi'!#REF!</definedName>
    <definedName name="X1pINTvc">'[6]CHITIET VL-NC-TT -1p'!#REF!</definedName>
    <definedName name="x1pintvl">'[6]lam-moi'!#REF!</definedName>
    <definedName name="x1ping">#REF!</definedName>
    <definedName name="x1pingnc">'[6]lam-moi'!#REF!</definedName>
    <definedName name="x1pingvl">'[6]lam-moi'!#REF!</definedName>
    <definedName name="x1pitnc">'[6]lam-moi'!#REF!</definedName>
    <definedName name="X1pITvc">'[6]CHITIET VL-NC-TT -1p'!#REF!</definedName>
    <definedName name="x1pitvl">'[6]lam-moi'!#REF!</definedName>
    <definedName name="x20knc">[6]chitiet!#REF!</definedName>
    <definedName name="x20kvl">[6]chitiet!#REF!</definedName>
    <definedName name="x22knc">[6]chitiet!#REF!</definedName>
    <definedName name="x22kvl">[6]chitiet!#REF!</definedName>
    <definedName name="x2mig1nc">'[6]lam-moi'!#REF!</definedName>
    <definedName name="x2mig1vl">'[6]lam-moi'!#REF!</definedName>
    <definedName name="x2min1nc">'[6]lam-moi'!#REF!</definedName>
    <definedName name="x2min1vl">'[6]lam-moi'!#REF!</definedName>
    <definedName name="x2mit1vl">'[6]lam-moi'!#REF!</definedName>
    <definedName name="x2mitnc">'[6]lam-moi'!#REF!</definedName>
    <definedName name="XA">#REF!</definedName>
    <definedName name="xaydung">[57]XL4Poppy!$B$1:$B$16</definedName>
    <definedName name="XCCT">0.5</definedName>
    <definedName name="xd0.6">#REF!</definedName>
    <definedName name="xd1.3">#REF!</definedName>
    <definedName name="xd1.5">#REF!</definedName>
    <definedName name="xdra">[7]sheet12!#REF!</definedName>
    <definedName name="xdsnc">[6]gtrinh!#REF!</definedName>
    <definedName name="xdsvl">[6]gtrinh!#REF!</definedName>
    <definedName name="xfco">#REF!</definedName>
    <definedName name="xfconc">'[6]lam-moi'!#REF!</definedName>
    <definedName name="xfcovl">'[6]lam-moi'!#REF!</definedName>
    <definedName name="xfnc">'[6]lam-moi'!#REF!</definedName>
    <definedName name="xfvl">'[6]lam-moi'!#REF!</definedName>
    <definedName name="xhn">#REF!</definedName>
    <definedName name="xhnnc">'[6]lam-moi'!#REF!</definedName>
    <definedName name="xhnvl">'[6]lam-moi'!#REF!</definedName>
    <definedName name="xig">#REF!</definedName>
    <definedName name="xig1">#REF!</definedName>
    <definedName name="xig1nc">'[6]lam-moi'!#REF!</definedName>
    <definedName name="xig1pnc">'[6]lam-moi'!#REF!</definedName>
    <definedName name="xig1pvl">'[6]lam-moi'!#REF!</definedName>
    <definedName name="xig1vl">'[6]lam-moi'!#REF!</definedName>
    <definedName name="xig2nc">'[6]lam-moi'!#REF!</definedName>
    <definedName name="xig2vl">'[6]lam-moi'!#REF!</definedName>
    <definedName name="xignc">'[6]lam-moi'!#REF!</definedName>
    <definedName name="xignc3p">#REF!</definedName>
    <definedName name="xigvl">'[6]lam-moi'!#REF!</definedName>
    <definedName name="xigvl3p">#REF!</definedName>
    <definedName name="ximang">[14]Sheet1!#REF!,[14]Sheet1!#REF!,[14]Sheet1!#REF!,[14]Sheet1!#REF!,[14]Sheet1!#REF!</definedName>
    <definedName name="XiMangPCB30">[18]T.Tinh!#REF!</definedName>
    <definedName name="xin">#REF!</definedName>
    <definedName name="xin190">#REF!</definedName>
    <definedName name="xin190nc">'[6]lam-moi'!#REF!</definedName>
    <definedName name="xin190vl">'[6]lam-moi'!#REF!</definedName>
    <definedName name="xin290nc3p">#REF!</definedName>
    <definedName name="xin290vl3p">#REF!</definedName>
    <definedName name="xin901nc">'[6]lam-moi'!#REF!</definedName>
    <definedName name="xin901vl">'[6]lam-moi'!#REF!</definedName>
    <definedName name="xind">#REF!</definedName>
    <definedName name="xind1pnc">'[6]lam-moi'!#REF!</definedName>
    <definedName name="xind1pvl">'[6]lam-moi'!#REF!</definedName>
    <definedName name="xindnc">'[6]lam-moi'!#REF!</definedName>
    <definedName name="xindvl">'[6]lam-moi'!#REF!</definedName>
    <definedName name="xinnc">'[6]lam-moi'!#REF!</definedName>
    <definedName name="xinnc3p">#REF!</definedName>
    <definedName name="xinvl">'[6]lam-moi'!#REF!</definedName>
    <definedName name="xinvl3p">#REF!</definedName>
    <definedName name="xing1pnc">'[6]lam-moi'!#REF!</definedName>
    <definedName name="xing1pvl">'[6]lam-moi'!#REF!</definedName>
    <definedName name="xit">#REF!</definedName>
    <definedName name="xit1">#REF!</definedName>
    <definedName name="xit1nc">'[6]lam-moi'!#REF!</definedName>
    <definedName name="xit1p">#REF!</definedName>
    <definedName name="xit1pnc">'[6]lam-moi'!#REF!</definedName>
    <definedName name="xit1pvl">'[6]lam-moi'!#REF!</definedName>
    <definedName name="xit1vl">'[6]lam-moi'!#REF!</definedName>
    <definedName name="xit23p">#REF!</definedName>
    <definedName name="xit2nc">'[6]lam-moi'!#REF!</definedName>
    <definedName name="xit2nc3p">#REF!</definedName>
    <definedName name="xit2vl">'[6]lam-moi'!#REF!</definedName>
    <definedName name="xit2vl3p">#REF!</definedName>
    <definedName name="xit3p">#REF!</definedName>
    <definedName name="xitnc">'[6]lam-moi'!#REF!</definedName>
    <definedName name="xitnc3p">#REF!</definedName>
    <definedName name="xittnc">'[6]CHITIET VL-NC'!$G$48</definedName>
    <definedName name="xittvl">'[6]CHITIET VL-NC'!$G$44</definedName>
    <definedName name="xitvl">'[6]lam-moi'!#REF!</definedName>
    <definedName name="xitvl3p">#REF!</definedName>
    <definedName name="xk0.6">#REF!</definedName>
    <definedName name="xk1.3">#REF!</definedName>
    <definedName name="xk1.5">#REF!</definedName>
    <definedName name="xld1.4">#REF!</definedName>
    <definedName name="xlk1.4">#REF!</definedName>
    <definedName name="XM">#REF!</definedName>
    <definedName name="xr1nc">'[6]lam-moi'!#REF!</definedName>
    <definedName name="xr1vl">'[6]lam-moi'!#REF!</definedName>
    <definedName name="xt">[8]th¸mo!#REF!</definedName>
    <definedName name="xtr3pnc">[6]gtrinh!#REF!</definedName>
    <definedName name="xtr3pvl">[6]gtrinh!#REF!</definedName>
    <definedName name="xx">#REF!</definedName>
    <definedName name="y">#REF!</definedName>
    <definedName name="ZYX">#REF!</definedName>
    <definedName name="ZZZ">#REF!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4" i="94"/>
  <c r="N143"/>
  <c r="M20" i="96" l="1"/>
  <c r="K20"/>
  <c r="I20"/>
  <c r="G20"/>
  <c r="L143" i="94"/>
  <c r="K144"/>
  <c r="J143" l="1"/>
  <c r="K41" l="1"/>
  <c r="J211"/>
  <c r="K215"/>
  <c r="I230" l="1"/>
  <c r="I231" s="1"/>
  <c r="I227"/>
  <c r="I228" s="1"/>
  <c r="D262" l="1"/>
  <c r="B196" i="117"/>
  <c r="L211" i="94"/>
  <c r="H211"/>
  <c r="I216"/>
  <c r="I214"/>
  <c r="M212"/>
  <c r="D31"/>
  <c r="E56"/>
  <c r="J183"/>
  <c r="E191"/>
  <c r="H26"/>
  <c r="I26"/>
  <c r="J26"/>
  <c r="K26"/>
  <c r="L26"/>
  <c r="N26"/>
  <c r="O26"/>
  <c r="P26"/>
  <c r="R26"/>
  <c r="S26"/>
  <c r="G24"/>
  <c r="H24"/>
  <c r="I24"/>
  <c r="J24"/>
  <c r="K24"/>
  <c r="L24"/>
  <c r="M24"/>
  <c r="N24"/>
  <c r="O24"/>
  <c r="R24"/>
  <c r="S24"/>
  <c r="G23"/>
  <c r="H23"/>
  <c r="I23"/>
  <c r="J23"/>
  <c r="L23"/>
  <c r="M23"/>
  <c r="N23"/>
  <c r="P23"/>
  <c r="Q23"/>
  <c r="R23"/>
  <c r="S23"/>
  <c r="G22"/>
  <c r="H22"/>
  <c r="I22"/>
  <c r="J22"/>
  <c r="L22"/>
  <c r="M22"/>
  <c r="N22"/>
  <c r="P22"/>
  <c r="R22"/>
  <c r="S22"/>
  <c r="G20"/>
  <c r="H20"/>
  <c r="I20"/>
  <c r="J20"/>
  <c r="K20"/>
  <c r="L20"/>
  <c r="M20"/>
  <c r="N20"/>
  <c r="P20"/>
  <c r="R20"/>
  <c r="S20"/>
  <c r="J8"/>
  <c r="L8"/>
  <c r="P8"/>
  <c r="F10"/>
  <c r="F8" s="1"/>
  <c r="S28"/>
  <c r="H21"/>
  <c r="J21"/>
  <c r="L21"/>
  <c r="N21"/>
  <c r="P21"/>
  <c r="R21"/>
  <c r="M19"/>
  <c r="I19"/>
  <c r="H18"/>
  <c r="J18"/>
  <c r="L18"/>
  <c r="N18"/>
  <c r="P18"/>
  <c r="R18"/>
  <c r="G16"/>
  <c r="Q13"/>
  <c r="O13"/>
  <c r="M13"/>
  <c r="K13"/>
  <c r="T11"/>
  <c r="R11"/>
  <c r="N11"/>
  <c r="H11"/>
  <c r="H12"/>
  <c r="J12"/>
  <c r="L12"/>
  <c r="N12"/>
  <c r="P12"/>
  <c r="R12"/>
  <c r="S12"/>
  <c r="T12"/>
  <c r="Q11" i="96"/>
  <c r="Q95" i="94"/>
  <c r="Q31"/>
  <c r="G219"/>
  <c r="G16" i="96"/>
  <c r="E13"/>
  <c r="I203" i="94"/>
  <c r="K203"/>
  <c r="M203"/>
  <c r="S203"/>
  <c r="G203"/>
  <c r="I197"/>
  <c r="G26" i="96" s="1"/>
  <c r="S196" i="94"/>
  <c r="Q196"/>
  <c r="O196"/>
  <c r="M196"/>
  <c r="K24" i="96" s="1"/>
  <c r="K196" i="94"/>
  <c r="I196"/>
  <c r="G196"/>
  <c r="I201"/>
  <c r="G201"/>
  <c r="O206"/>
  <c r="O203" s="1"/>
  <c r="N206"/>
  <c r="D206"/>
  <c r="Q206"/>
  <c r="H192"/>
  <c r="J192"/>
  <c r="L192"/>
  <c r="N192"/>
  <c r="P192"/>
  <c r="R192"/>
  <c r="C80" i="128"/>
  <c r="C79"/>
  <c r="K78"/>
  <c r="J78"/>
  <c r="I78"/>
  <c r="I72" s="1"/>
  <c r="I16" s="1"/>
  <c r="H78"/>
  <c r="G78"/>
  <c r="F78"/>
  <c r="E78"/>
  <c r="C78" s="1"/>
  <c r="D78"/>
  <c r="C76"/>
  <c r="K75"/>
  <c r="K72" s="1"/>
  <c r="J75"/>
  <c r="I75"/>
  <c r="H75"/>
  <c r="G75"/>
  <c r="G72" s="1"/>
  <c r="F75"/>
  <c r="F72"/>
  <c r="E75"/>
  <c r="D75"/>
  <c r="D72" s="1"/>
  <c r="C74"/>
  <c r="K73"/>
  <c r="J73"/>
  <c r="I73"/>
  <c r="H73"/>
  <c r="G73"/>
  <c r="F73"/>
  <c r="E73"/>
  <c r="D73"/>
  <c r="C71"/>
  <c r="C70"/>
  <c r="K69"/>
  <c r="J69"/>
  <c r="I69"/>
  <c r="H69"/>
  <c r="G69"/>
  <c r="F69"/>
  <c r="C69" s="1"/>
  <c r="E69"/>
  <c r="D69"/>
  <c r="C68"/>
  <c r="C65"/>
  <c r="C67"/>
  <c r="K66"/>
  <c r="J66"/>
  <c r="I66"/>
  <c r="H66"/>
  <c r="G66"/>
  <c r="F66"/>
  <c r="E66"/>
  <c r="D66"/>
  <c r="C66" s="1"/>
  <c r="K65"/>
  <c r="J65"/>
  <c r="I65"/>
  <c r="H65"/>
  <c r="G65"/>
  <c r="F65"/>
  <c r="E65"/>
  <c r="D65"/>
  <c r="K64"/>
  <c r="K63" s="1"/>
  <c r="J64"/>
  <c r="J63" s="1"/>
  <c r="I64"/>
  <c r="H64"/>
  <c r="G64"/>
  <c r="F64"/>
  <c r="F63" s="1"/>
  <c r="E64"/>
  <c r="E63" s="1"/>
  <c r="D64"/>
  <c r="C64"/>
  <c r="AV63"/>
  <c r="AU63"/>
  <c r="AS63"/>
  <c r="AR63"/>
  <c r="AK63"/>
  <c r="AH63"/>
  <c r="AG63"/>
  <c r="AF63"/>
  <c r="AE63" s="1"/>
  <c r="I63"/>
  <c r="H63"/>
  <c r="G63"/>
  <c r="C62"/>
  <c r="C61"/>
  <c r="E60"/>
  <c r="D60"/>
  <c r="C59"/>
  <c r="C58"/>
  <c r="K57"/>
  <c r="C57" s="1"/>
  <c r="C56"/>
  <c r="C55"/>
  <c r="K54"/>
  <c r="K53" s="1"/>
  <c r="J54"/>
  <c r="I54"/>
  <c r="I53"/>
  <c r="H54"/>
  <c r="H53" s="1"/>
  <c r="G54"/>
  <c r="F54"/>
  <c r="F53" s="1"/>
  <c r="E54"/>
  <c r="E53" s="1"/>
  <c r="D54"/>
  <c r="D53" s="1"/>
  <c r="J53"/>
  <c r="G53"/>
  <c r="C51"/>
  <c r="C50" s="1"/>
  <c r="E50"/>
  <c r="D50"/>
  <c r="C49"/>
  <c r="C42" s="1"/>
  <c r="C40" s="1"/>
  <c r="C48"/>
  <c r="L47"/>
  <c r="C46"/>
  <c r="C39" s="1"/>
  <c r="C44"/>
  <c r="C45"/>
  <c r="L44"/>
  <c r="L43" s="1"/>
  <c r="L36" s="1"/>
  <c r="K44"/>
  <c r="K43"/>
  <c r="J44"/>
  <c r="J43"/>
  <c r="J36"/>
  <c r="I44"/>
  <c r="I43" s="1"/>
  <c r="I36" s="1"/>
  <c r="H44"/>
  <c r="H43"/>
  <c r="G44"/>
  <c r="G43" s="1"/>
  <c r="F44"/>
  <c r="F43" s="1"/>
  <c r="E44"/>
  <c r="D44"/>
  <c r="D43"/>
  <c r="E43"/>
  <c r="L42"/>
  <c r="K42"/>
  <c r="J42"/>
  <c r="I42"/>
  <c r="H42"/>
  <c r="G42"/>
  <c r="F42"/>
  <c r="E42"/>
  <c r="E15" s="1"/>
  <c r="D42"/>
  <c r="K41"/>
  <c r="C41"/>
  <c r="L39"/>
  <c r="L12" s="1"/>
  <c r="K39"/>
  <c r="J39"/>
  <c r="J37" s="1"/>
  <c r="S195" i="94"/>
  <c r="I39" i="128"/>
  <c r="Q195" i="94" s="1"/>
  <c r="Q194" s="1"/>
  <c r="H39" i="128"/>
  <c r="H37" s="1"/>
  <c r="O195" i="94"/>
  <c r="G39" i="128"/>
  <c r="M195" i="94"/>
  <c r="F39" i="128"/>
  <c r="K195" i="94" s="1"/>
  <c r="E39" i="128"/>
  <c r="I195" i="94"/>
  <c r="D39" i="128"/>
  <c r="L38"/>
  <c r="K38"/>
  <c r="K37"/>
  <c r="E37"/>
  <c r="C35"/>
  <c r="C34"/>
  <c r="C33" s="1"/>
  <c r="L33"/>
  <c r="K33"/>
  <c r="J33"/>
  <c r="I33"/>
  <c r="H33"/>
  <c r="G33"/>
  <c r="F33"/>
  <c r="E33"/>
  <c r="D33"/>
  <c r="C32"/>
  <c r="C31"/>
  <c r="C30"/>
  <c r="L30"/>
  <c r="K30"/>
  <c r="J30"/>
  <c r="I30"/>
  <c r="H30"/>
  <c r="G30"/>
  <c r="F30"/>
  <c r="E30"/>
  <c r="D30"/>
  <c r="D29"/>
  <c r="C29"/>
  <c r="L28"/>
  <c r="L27" s="1"/>
  <c r="L16" s="1"/>
  <c r="K28"/>
  <c r="K12" s="1"/>
  <c r="J28"/>
  <c r="I28"/>
  <c r="I27"/>
  <c r="H28"/>
  <c r="H12"/>
  <c r="H10" s="1"/>
  <c r="H9" s="1"/>
  <c r="G28"/>
  <c r="G27" s="1"/>
  <c r="F28"/>
  <c r="E28"/>
  <c r="D28"/>
  <c r="C26"/>
  <c r="C25"/>
  <c r="AD24"/>
  <c r="J24"/>
  <c r="I24"/>
  <c r="H24"/>
  <c r="G24"/>
  <c r="F24"/>
  <c r="E24"/>
  <c r="D24"/>
  <c r="C23"/>
  <c r="C22"/>
  <c r="E21"/>
  <c r="C21" s="1"/>
  <c r="D21"/>
  <c r="C20"/>
  <c r="C19"/>
  <c r="C18" s="1"/>
  <c r="E18"/>
  <c r="D18"/>
  <c r="D17"/>
  <c r="N17"/>
  <c r="L14"/>
  <c r="E14"/>
  <c r="D14"/>
  <c r="G12"/>
  <c r="G10" s="1"/>
  <c r="G9" s="1"/>
  <c r="L11"/>
  <c r="K11"/>
  <c r="E11"/>
  <c r="D11"/>
  <c r="AD9"/>
  <c r="F37"/>
  <c r="H181" i="94"/>
  <c r="R181"/>
  <c r="S181"/>
  <c r="G170"/>
  <c r="H170"/>
  <c r="I170"/>
  <c r="J170"/>
  <c r="K170"/>
  <c r="N170"/>
  <c r="O170"/>
  <c r="R170"/>
  <c r="S170"/>
  <c r="R162"/>
  <c r="D162" s="1"/>
  <c r="R124"/>
  <c r="D124" s="1"/>
  <c r="S124"/>
  <c r="A3" i="96"/>
  <c r="N48" i="94"/>
  <c r="S201"/>
  <c r="Q201"/>
  <c r="O201"/>
  <c r="M24" i="96" s="1"/>
  <c r="M201" i="94"/>
  <c r="K201"/>
  <c r="I24" i="96" s="1"/>
  <c r="N88" i="94"/>
  <c r="N233"/>
  <c r="O233" s="1"/>
  <c r="O256"/>
  <c r="N183"/>
  <c r="O140"/>
  <c r="N140"/>
  <c r="O131"/>
  <c r="N97"/>
  <c r="N80" i="123"/>
  <c r="O80"/>
  <c r="N107" i="94"/>
  <c r="F79" i="123"/>
  <c r="L77"/>
  <c r="F78"/>
  <c r="H78"/>
  <c r="O101" i="94"/>
  <c r="M94" i="123"/>
  <c r="F94"/>
  <c r="I94" s="1"/>
  <c r="H94" s="1"/>
  <c r="G94" s="1"/>
  <c r="P93"/>
  <c r="M93" s="1"/>
  <c r="K93"/>
  <c r="P92"/>
  <c r="M92" s="1"/>
  <c r="K92"/>
  <c r="L92" s="1"/>
  <c r="P91"/>
  <c r="L91"/>
  <c r="K91"/>
  <c r="M90"/>
  <c r="H90"/>
  <c r="G90" s="1"/>
  <c r="F90" s="1"/>
  <c r="P89"/>
  <c r="P88" s="1"/>
  <c r="P86" s="1"/>
  <c r="H89"/>
  <c r="W88"/>
  <c r="W86"/>
  <c r="V88"/>
  <c r="V86" s="1"/>
  <c r="U88"/>
  <c r="U86" s="1"/>
  <c r="T88"/>
  <c r="T86"/>
  <c r="S88"/>
  <c r="R88"/>
  <c r="R86"/>
  <c r="Q88"/>
  <c r="Q86" s="1"/>
  <c r="O88"/>
  <c r="O86" s="1"/>
  <c r="N88"/>
  <c r="N86" s="1"/>
  <c r="J88"/>
  <c r="J86" s="1"/>
  <c r="I88"/>
  <c r="I86" s="1"/>
  <c r="M87"/>
  <c r="L87"/>
  <c r="X86"/>
  <c r="S86"/>
  <c r="M85"/>
  <c r="F85"/>
  <c r="I85" s="1"/>
  <c r="H85" s="1"/>
  <c r="G85" s="1"/>
  <c r="Q84"/>
  <c r="Q83" s="1"/>
  <c r="M84"/>
  <c r="L84"/>
  <c r="I84"/>
  <c r="W83"/>
  <c r="V83"/>
  <c r="U83"/>
  <c r="T83"/>
  <c r="S83"/>
  <c r="R83"/>
  <c r="P83"/>
  <c r="O83"/>
  <c r="N83"/>
  <c r="M83"/>
  <c r="L83"/>
  <c r="K83"/>
  <c r="J83"/>
  <c r="F83"/>
  <c r="P82"/>
  <c r="M82"/>
  <c r="I82"/>
  <c r="F81"/>
  <c r="K81" s="1"/>
  <c r="M79"/>
  <c r="H79"/>
  <c r="G79" s="1"/>
  <c r="M78"/>
  <c r="M77" s="1"/>
  <c r="X77"/>
  <c r="X74" s="1"/>
  <c r="W77"/>
  <c r="W74" s="1"/>
  <c r="V77"/>
  <c r="U77"/>
  <c r="U74" s="1"/>
  <c r="T77"/>
  <c r="T74" s="1"/>
  <c r="S77"/>
  <c r="S74"/>
  <c r="R77"/>
  <c r="R74" s="1"/>
  <c r="Q77"/>
  <c r="P77"/>
  <c r="O77"/>
  <c r="O74" s="1"/>
  <c r="N77"/>
  <c r="N74" s="1"/>
  <c r="K77"/>
  <c r="J77"/>
  <c r="J74" s="1"/>
  <c r="I77"/>
  <c r="P76"/>
  <c r="M76"/>
  <c r="H76"/>
  <c r="F75"/>
  <c r="V74"/>
  <c r="Q74"/>
  <c r="H73"/>
  <c r="H72" s="1"/>
  <c r="F73"/>
  <c r="W72"/>
  <c r="V72"/>
  <c r="U72"/>
  <c r="T72"/>
  <c r="S72"/>
  <c r="R72"/>
  <c r="Q72"/>
  <c r="P72"/>
  <c r="N72"/>
  <c r="L72"/>
  <c r="K72"/>
  <c r="J72"/>
  <c r="I72"/>
  <c r="M71"/>
  <c r="L71"/>
  <c r="H71"/>
  <c r="M69"/>
  <c r="F69"/>
  <c r="I69"/>
  <c r="H69" s="1"/>
  <c r="G69" s="1"/>
  <c r="Q68"/>
  <c r="Q67" s="1"/>
  <c r="M68"/>
  <c r="L68"/>
  <c r="I68"/>
  <c r="I67" s="1"/>
  <c r="W67"/>
  <c r="V67"/>
  <c r="U67"/>
  <c r="T67"/>
  <c r="S67"/>
  <c r="R67"/>
  <c r="P67"/>
  <c r="O67"/>
  <c r="N67"/>
  <c r="M67"/>
  <c r="L67"/>
  <c r="K67"/>
  <c r="J67"/>
  <c r="F67"/>
  <c r="F66"/>
  <c r="X65"/>
  <c r="W65"/>
  <c r="V65"/>
  <c r="U65"/>
  <c r="T65"/>
  <c r="S65"/>
  <c r="R65"/>
  <c r="Q65"/>
  <c r="O65"/>
  <c r="N65"/>
  <c r="J65"/>
  <c r="I65"/>
  <c r="I58" s="1"/>
  <c r="M64"/>
  <c r="H64"/>
  <c r="H63" s="1"/>
  <c r="F64"/>
  <c r="F63" s="1"/>
  <c r="X63"/>
  <c r="W63"/>
  <c r="V63"/>
  <c r="V58" s="1"/>
  <c r="V54" s="1"/>
  <c r="U63"/>
  <c r="T63"/>
  <c r="S63"/>
  <c r="R63"/>
  <c r="Q63"/>
  <c r="P63"/>
  <c r="O63"/>
  <c r="N63"/>
  <c r="L63"/>
  <c r="K63"/>
  <c r="J63"/>
  <c r="I63"/>
  <c r="P62"/>
  <c r="M62"/>
  <c r="H62"/>
  <c r="P61"/>
  <c r="M61" s="1"/>
  <c r="H61"/>
  <c r="G61" s="1"/>
  <c r="P60"/>
  <c r="M60"/>
  <c r="H60"/>
  <c r="X59"/>
  <c r="X58"/>
  <c r="W59"/>
  <c r="W58" s="1"/>
  <c r="V59"/>
  <c r="U59"/>
  <c r="T59"/>
  <c r="T58" s="1"/>
  <c r="S59"/>
  <c r="S58" s="1"/>
  <c r="R59"/>
  <c r="Q59"/>
  <c r="O59"/>
  <c r="O58"/>
  <c r="N59"/>
  <c r="N58" s="1"/>
  <c r="L59"/>
  <c r="K59"/>
  <c r="J59"/>
  <c r="J58" s="1"/>
  <c r="I59"/>
  <c r="F59"/>
  <c r="H57"/>
  <c r="H56" s="1"/>
  <c r="F57"/>
  <c r="F56" s="1"/>
  <c r="N57"/>
  <c r="W56"/>
  <c r="V56"/>
  <c r="U56"/>
  <c r="T56"/>
  <c r="S56"/>
  <c r="R56"/>
  <c r="Q56"/>
  <c r="P56"/>
  <c r="O56"/>
  <c r="L56"/>
  <c r="K56"/>
  <c r="J56"/>
  <c r="I56"/>
  <c r="M55"/>
  <c r="L55"/>
  <c r="H55"/>
  <c r="G55" s="1"/>
  <c r="M53"/>
  <c r="F53"/>
  <c r="F51" s="1"/>
  <c r="R52"/>
  <c r="M52"/>
  <c r="M51" s="1"/>
  <c r="H52"/>
  <c r="X51"/>
  <c r="W51"/>
  <c r="V51"/>
  <c r="U51"/>
  <c r="T51"/>
  <c r="S51"/>
  <c r="P51"/>
  <c r="O51"/>
  <c r="N51"/>
  <c r="L51"/>
  <c r="K51"/>
  <c r="J51"/>
  <c r="S50"/>
  <c r="R50" s="1"/>
  <c r="R49" s="1"/>
  <c r="M50"/>
  <c r="M49" s="1"/>
  <c r="I50"/>
  <c r="I49" s="1"/>
  <c r="H50"/>
  <c r="X49"/>
  <c r="W49"/>
  <c r="V49"/>
  <c r="U49"/>
  <c r="T49"/>
  <c r="Q49"/>
  <c r="P49"/>
  <c r="O49"/>
  <c r="N49"/>
  <c r="L49"/>
  <c r="K49"/>
  <c r="J49"/>
  <c r="F49"/>
  <c r="Q48"/>
  <c r="M48"/>
  <c r="G48" s="1"/>
  <c r="G47" s="1"/>
  <c r="M47"/>
  <c r="H48"/>
  <c r="F48"/>
  <c r="F47"/>
  <c r="W47"/>
  <c r="W33" s="1"/>
  <c r="V47"/>
  <c r="U47"/>
  <c r="T47"/>
  <c r="S47"/>
  <c r="R47"/>
  <c r="P47"/>
  <c r="O47"/>
  <c r="N47"/>
  <c r="L47"/>
  <c r="K47"/>
  <c r="J47"/>
  <c r="I47"/>
  <c r="Q46"/>
  <c r="M46"/>
  <c r="I46"/>
  <c r="H46"/>
  <c r="G46" s="1"/>
  <c r="E46"/>
  <c r="F46" s="1"/>
  <c r="O153" i="94" s="1"/>
  <c r="M45" i="123"/>
  <c r="J45"/>
  <c r="F45"/>
  <c r="M44"/>
  <c r="J44"/>
  <c r="F44"/>
  <c r="Q43"/>
  <c r="Q42"/>
  <c r="M43"/>
  <c r="I43"/>
  <c r="H43" s="1"/>
  <c r="W42"/>
  <c r="V42"/>
  <c r="U42"/>
  <c r="T42"/>
  <c r="S42"/>
  <c r="R42"/>
  <c r="P42"/>
  <c r="O42"/>
  <c r="N42"/>
  <c r="L42"/>
  <c r="K42"/>
  <c r="F41"/>
  <c r="P41" s="1"/>
  <c r="M41" s="1"/>
  <c r="F40"/>
  <c r="F39"/>
  <c r="P39"/>
  <c r="X38"/>
  <c r="W38"/>
  <c r="V38"/>
  <c r="U38"/>
  <c r="T38"/>
  <c r="S38"/>
  <c r="R38"/>
  <c r="Q38"/>
  <c r="O38"/>
  <c r="N38"/>
  <c r="J38"/>
  <c r="I38"/>
  <c r="H37"/>
  <c r="F37"/>
  <c r="M36"/>
  <c r="F36"/>
  <c r="K36" s="1"/>
  <c r="W35"/>
  <c r="V35"/>
  <c r="U35"/>
  <c r="T35"/>
  <c r="S35"/>
  <c r="R35"/>
  <c r="Q35"/>
  <c r="P35"/>
  <c r="O35"/>
  <c r="J35"/>
  <c r="I35"/>
  <c r="M34"/>
  <c r="L34"/>
  <c r="H34"/>
  <c r="M32"/>
  <c r="F32"/>
  <c r="F30" s="1"/>
  <c r="R31"/>
  <c r="P31"/>
  <c r="P30" s="1"/>
  <c r="M31"/>
  <c r="M30" s="1"/>
  <c r="I31"/>
  <c r="H31"/>
  <c r="X30"/>
  <c r="W30"/>
  <c r="V30"/>
  <c r="U30"/>
  <c r="T30"/>
  <c r="S30"/>
  <c r="O30"/>
  <c r="N30"/>
  <c r="L30"/>
  <c r="K30"/>
  <c r="J30"/>
  <c r="S29"/>
  <c r="O207" i="94" s="1"/>
  <c r="M18" i="96" s="1"/>
  <c r="M29" i="123"/>
  <c r="I29"/>
  <c r="H29"/>
  <c r="X28"/>
  <c r="W28"/>
  <c r="V28"/>
  <c r="U28"/>
  <c r="T28"/>
  <c r="Q28"/>
  <c r="P28"/>
  <c r="O28"/>
  <c r="N28"/>
  <c r="L28"/>
  <c r="K28"/>
  <c r="J28"/>
  <c r="I28"/>
  <c r="F28"/>
  <c r="Q27"/>
  <c r="M27"/>
  <c r="M26"/>
  <c r="H27"/>
  <c r="F27"/>
  <c r="W26"/>
  <c r="V26"/>
  <c r="U26"/>
  <c r="T26"/>
  <c r="S26"/>
  <c r="R26"/>
  <c r="P26"/>
  <c r="O26"/>
  <c r="N26"/>
  <c r="L26"/>
  <c r="K26"/>
  <c r="J26"/>
  <c r="I26"/>
  <c r="F26"/>
  <c r="Q25"/>
  <c r="M25"/>
  <c r="I25"/>
  <c r="H25" s="1"/>
  <c r="G25" s="1"/>
  <c r="F25"/>
  <c r="R24"/>
  <c r="R21" s="1"/>
  <c r="M24"/>
  <c r="H24"/>
  <c r="F24"/>
  <c r="H23"/>
  <c r="G23"/>
  <c r="Q22"/>
  <c r="K22"/>
  <c r="H22" s="1"/>
  <c r="X21"/>
  <c r="W21"/>
  <c r="V21"/>
  <c r="U21"/>
  <c r="T21"/>
  <c r="S21"/>
  <c r="O21"/>
  <c r="N21"/>
  <c r="L21"/>
  <c r="J21"/>
  <c r="F20"/>
  <c r="F19"/>
  <c r="K19" s="1"/>
  <c r="X18"/>
  <c r="W18"/>
  <c r="V18"/>
  <c r="U18"/>
  <c r="T18"/>
  <c r="S18"/>
  <c r="R18"/>
  <c r="Q18"/>
  <c r="O18"/>
  <c r="N18"/>
  <c r="J18"/>
  <c r="I18"/>
  <c r="H17"/>
  <c r="F17"/>
  <c r="M16"/>
  <c r="F16"/>
  <c r="W15"/>
  <c r="V15"/>
  <c r="U15"/>
  <c r="U13" s="1"/>
  <c r="T15"/>
  <c r="S15"/>
  <c r="R15"/>
  <c r="Q15"/>
  <c r="P15"/>
  <c r="O15"/>
  <c r="J15"/>
  <c r="I15"/>
  <c r="M14"/>
  <c r="H14"/>
  <c r="S200" i="94"/>
  <c r="Q26" i="96" s="1"/>
  <c r="Q200" i="94"/>
  <c r="O200"/>
  <c r="M26" i="96" s="1"/>
  <c r="M200" i="94"/>
  <c r="K26" i="96" s="1"/>
  <c r="I200" i="94"/>
  <c r="K200"/>
  <c r="I26" i="96"/>
  <c r="G200" i="94"/>
  <c r="E26" i="96" s="1"/>
  <c r="K39" i="123"/>
  <c r="K41"/>
  <c r="C80" i="122"/>
  <c r="C79"/>
  <c r="K78"/>
  <c r="J78"/>
  <c r="I78"/>
  <c r="I72" s="1"/>
  <c r="H78"/>
  <c r="G78"/>
  <c r="F78"/>
  <c r="F72" s="1"/>
  <c r="E78"/>
  <c r="D78"/>
  <c r="C76"/>
  <c r="K75"/>
  <c r="K72" s="1"/>
  <c r="J75"/>
  <c r="I75"/>
  <c r="H75"/>
  <c r="H72" s="1"/>
  <c r="G75"/>
  <c r="F75"/>
  <c r="E75"/>
  <c r="D75"/>
  <c r="D72" s="1"/>
  <c r="C74"/>
  <c r="K73"/>
  <c r="J73"/>
  <c r="I73"/>
  <c r="H73"/>
  <c r="G73"/>
  <c r="F73"/>
  <c r="E73"/>
  <c r="D73"/>
  <c r="C71"/>
  <c r="C70"/>
  <c r="C64" s="1"/>
  <c r="K69"/>
  <c r="J69"/>
  <c r="I69"/>
  <c r="H69"/>
  <c r="G69"/>
  <c r="F69"/>
  <c r="E69"/>
  <c r="D69"/>
  <c r="C69" s="1"/>
  <c r="C68"/>
  <c r="C65" s="1"/>
  <c r="C67"/>
  <c r="K66"/>
  <c r="J66"/>
  <c r="I66"/>
  <c r="H66"/>
  <c r="G66"/>
  <c r="F66"/>
  <c r="E66"/>
  <c r="D66"/>
  <c r="C66" s="1"/>
  <c r="K65"/>
  <c r="J65"/>
  <c r="I65"/>
  <c r="H65"/>
  <c r="G65"/>
  <c r="F65"/>
  <c r="E65"/>
  <c r="D65"/>
  <c r="K64"/>
  <c r="K63" s="1"/>
  <c r="J64"/>
  <c r="J63" s="1"/>
  <c r="I64"/>
  <c r="I63" s="1"/>
  <c r="H64"/>
  <c r="H63" s="1"/>
  <c r="G64"/>
  <c r="G63" s="1"/>
  <c r="F64"/>
  <c r="E64"/>
  <c r="D64"/>
  <c r="D63" s="1"/>
  <c r="AV63"/>
  <c r="AU63"/>
  <c r="AS63"/>
  <c r="AR63"/>
  <c r="AQ63" s="1"/>
  <c r="AP63"/>
  <c r="AK63"/>
  <c r="AH63"/>
  <c r="AG63"/>
  <c r="AF63"/>
  <c r="AE63" s="1"/>
  <c r="E63"/>
  <c r="C62"/>
  <c r="C61"/>
  <c r="E60"/>
  <c r="C60" s="1"/>
  <c r="D60"/>
  <c r="C59"/>
  <c r="C58"/>
  <c r="K57"/>
  <c r="C56"/>
  <c r="C55"/>
  <c r="K54"/>
  <c r="K53" s="1"/>
  <c r="J54"/>
  <c r="I54"/>
  <c r="I53" s="1"/>
  <c r="H54"/>
  <c r="G54"/>
  <c r="G53" s="1"/>
  <c r="F54"/>
  <c r="F53" s="1"/>
  <c r="E54"/>
  <c r="E53"/>
  <c r="D54"/>
  <c r="D53" s="1"/>
  <c r="J53"/>
  <c r="H53"/>
  <c r="C51"/>
  <c r="E50"/>
  <c r="D50"/>
  <c r="C49"/>
  <c r="C42" s="1"/>
  <c r="C48"/>
  <c r="L47"/>
  <c r="C46"/>
  <c r="C45"/>
  <c r="C44" s="1"/>
  <c r="L44"/>
  <c r="L43" s="1"/>
  <c r="L36" s="1"/>
  <c r="K44"/>
  <c r="K43" s="1"/>
  <c r="J44"/>
  <c r="J43" s="1"/>
  <c r="J36" s="1"/>
  <c r="I44"/>
  <c r="I43" s="1"/>
  <c r="I36" s="1"/>
  <c r="H44"/>
  <c r="H43" s="1"/>
  <c r="H36" s="1"/>
  <c r="G44"/>
  <c r="G43" s="1"/>
  <c r="F44"/>
  <c r="F43" s="1"/>
  <c r="E44"/>
  <c r="D44"/>
  <c r="D43" s="1"/>
  <c r="E43"/>
  <c r="L42"/>
  <c r="L15"/>
  <c r="K42"/>
  <c r="K15" s="1"/>
  <c r="J42"/>
  <c r="I42"/>
  <c r="H42"/>
  <c r="G42"/>
  <c r="F42"/>
  <c r="E42"/>
  <c r="E15" s="1"/>
  <c r="D42"/>
  <c r="K41"/>
  <c r="L40"/>
  <c r="L39"/>
  <c r="K39"/>
  <c r="J39"/>
  <c r="J37" s="1"/>
  <c r="I39"/>
  <c r="I37"/>
  <c r="H39"/>
  <c r="G39"/>
  <c r="G37"/>
  <c r="F39"/>
  <c r="F37" s="1"/>
  <c r="E39"/>
  <c r="E37" s="1"/>
  <c r="D39"/>
  <c r="L38"/>
  <c r="L37" s="1"/>
  <c r="K38"/>
  <c r="K37"/>
  <c r="C35"/>
  <c r="C34"/>
  <c r="L33"/>
  <c r="K33"/>
  <c r="J33"/>
  <c r="I33"/>
  <c r="H33"/>
  <c r="G33"/>
  <c r="F33"/>
  <c r="E33"/>
  <c r="D33"/>
  <c r="C32"/>
  <c r="C30"/>
  <c r="C31"/>
  <c r="L30"/>
  <c r="K30"/>
  <c r="J30"/>
  <c r="I30"/>
  <c r="H30"/>
  <c r="G30"/>
  <c r="F30"/>
  <c r="E30"/>
  <c r="D30"/>
  <c r="D29"/>
  <c r="L28"/>
  <c r="L27" s="1"/>
  <c r="K28"/>
  <c r="K12" s="1"/>
  <c r="J28"/>
  <c r="J27"/>
  <c r="I28"/>
  <c r="Q199" i="94"/>
  <c r="H28" i="122"/>
  <c r="H12" s="1"/>
  <c r="H10" s="1"/>
  <c r="H9" s="1"/>
  <c r="G28"/>
  <c r="F28"/>
  <c r="F27" s="1"/>
  <c r="E28"/>
  <c r="I199" i="94" s="1"/>
  <c r="D28" i="122"/>
  <c r="G199" i="94"/>
  <c r="G198" s="1"/>
  <c r="I27" i="122"/>
  <c r="H27"/>
  <c r="C26"/>
  <c r="C25"/>
  <c r="AD24"/>
  <c r="J24"/>
  <c r="I24"/>
  <c r="H24"/>
  <c r="G24"/>
  <c r="F24"/>
  <c r="E24"/>
  <c r="D24"/>
  <c r="C23"/>
  <c r="C22"/>
  <c r="E21"/>
  <c r="D21"/>
  <c r="C20"/>
  <c r="C19"/>
  <c r="AD19"/>
  <c r="E18"/>
  <c r="D18"/>
  <c r="D17" s="1"/>
  <c r="N17"/>
  <c r="L14"/>
  <c r="L13" s="1"/>
  <c r="E14"/>
  <c r="D14"/>
  <c r="I12"/>
  <c r="I10"/>
  <c r="I9" s="1"/>
  <c r="E11"/>
  <c r="D11"/>
  <c r="AD9"/>
  <c r="J43" i="94"/>
  <c r="H43"/>
  <c r="F43"/>
  <c r="F36"/>
  <c r="N36"/>
  <c r="O166"/>
  <c r="O164"/>
  <c r="O162" s="1"/>
  <c r="O62"/>
  <c r="O61"/>
  <c r="E61" s="1"/>
  <c r="N61"/>
  <c r="D61"/>
  <c r="N55"/>
  <c r="O72"/>
  <c r="N69"/>
  <c r="O91"/>
  <c r="N43"/>
  <c r="K72"/>
  <c r="J69"/>
  <c r="K40"/>
  <c r="J36"/>
  <c r="L43"/>
  <c r="K59"/>
  <c r="J55"/>
  <c r="K166"/>
  <c r="K164"/>
  <c r="K162" s="1"/>
  <c r="K111"/>
  <c r="J107"/>
  <c r="K101"/>
  <c r="J97"/>
  <c r="K46"/>
  <c r="I59"/>
  <c r="H55"/>
  <c r="H36"/>
  <c r="I40"/>
  <c r="I111"/>
  <c r="I107"/>
  <c r="H107"/>
  <c r="I101"/>
  <c r="H97"/>
  <c r="I134"/>
  <c r="I131"/>
  <c r="I124" s="1"/>
  <c r="I166"/>
  <c r="H164"/>
  <c r="I72"/>
  <c r="H69"/>
  <c r="I46"/>
  <c r="I215"/>
  <c r="G72"/>
  <c r="F69"/>
  <c r="G166"/>
  <c r="F164"/>
  <c r="G150"/>
  <c r="G149"/>
  <c r="G40"/>
  <c r="G46"/>
  <c r="G43"/>
  <c r="G59"/>
  <c r="F55"/>
  <c r="O112"/>
  <c r="O111"/>
  <c r="M113"/>
  <c r="M111"/>
  <c r="L107"/>
  <c r="M101"/>
  <c r="L97"/>
  <c r="K103"/>
  <c r="G112"/>
  <c r="G111"/>
  <c r="F107"/>
  <c r="G103"/>
  <c r="G101"/>
  <c r="F97"/>
  <c r="O215"/>
  <c r="O211"/>
  <c r="G215"/>
  <c r="F211"/>
  <c r="Q236"/>
  <c r="Q237" s="1"/>
  <c r="P236"/>
  <c r="D236" s="1"/>
  <c r="Q230"/>
  <c r="Q231" s="1"/>
  <c r="Q229"/>
  <c r="P256"/>
  <c r="Q234"/>
  <c r="Q235" s="1"/>
  <c r="Q233"/>
  <c r="P233"/>
  <c r="Q217"/>
  <c r="Q215"/>
  <c r="Q211"/>
  <c r="Q250"/>
  <c r="Q249"/>
  <c r="Q248"/>
  <c r="P248"/>
  <c r="Q242"/>
  <c r="Q241"/>
  <c r="E241" s="1"/>
  <c r="D241"/>
  <c r="Q209"/>
  <c r="Q208"/>
  <c r="E208" s="1"/>
  <c r="Q207"/>
  <c r="Q205"/>
  <c r="Q204"/>
  <c r="Q188"/>
  <c r="E188" s="1"/>
  <c r="Q187"/>
  <c r="Q186"/>
  <c r="E186" s="1"/>
  <c r="Q185"/>
  <c r="E185" s="1"/>
  <c r="Q183"/>
  <c r="P183"/>
  <c r="Q180"/>
  <c r="Q179"/>
  <c r="Q178"/>
  <c r="E178" s="1"/>
  <c r="Q177"/>
  <c r="Q176"/>
  <c r="E176" s="1"/>
  <c r="D178"/>
  <c r="Q167"/>
  <c r="O29" i="96" s="1"/>
  <c r="Q166" i="94"/>
  <c r="Q164"/>
  <c r="Q162" s="1"/>
  <c r="Q150"/>
  <c r="Q149"/>
  <c r="Q147"/>
  <c r="Q145"/>
  <c r="O17" i="96" s="1"/>
  <c r="Q144" i="94"/>
  <c r="P143"/>
  <c r="Q153"/>
  <c r="Q154" s="1"/>
  <c r="Q138"/>
  <c r="Q137"/>
  <c r="Q141"/>
  <c r="Q140"/>
  <c r="Q115"/>
  <c r="Q113"/>
  <c r="P107"/>
  <c r="Q105"/>
  <c r="P97"/>
  <c r="Q93"/>
  <c r="P88"/>
  <c r="Q123"/>
  <c r="D122"/>
  <c r="Q83"/>
  <c r="P81"/>
  <c r="P80"/>
  <c r="D83"/>
  <c r="Q74"/>
  <c r="Q75"/>
  <c r="P69"/>
  <c r="Q51"/>
  <c r="Q50"/>
  <c r="Q49"/>
  <c r="Q48"/>
  <c r="P48"/>
  <c r="Q41"/>
  <c r="P36"/>
  <c r="Q40"/>
  <c r="Q33"/>
  <c r="Q32"/>
  <c r="Q35"/>
  <c r="Q34"/>
  <c r="E34" s="1"/>
  <c r="D34"/>
  <c r="Q122"/>
  <c r="E122" s="1"/>
  <c r="H80"/>
  <c r="I80"/>
  <c r="J80"/>
  <c r="L80"/>
  <c r="M80"/>
  <c r="M79"/>
  <c r="N80"/>
  <c r="R80"/>
  <c r="F80"/>
  <c r="F11" i="121"/>
  <c r="E82" i="94"/>
  <c r="D82"/>
  <c r="S81"/>
  <c r="Q16" i="96"/>
  <c r="Q81" i="94"/>
  <c r="O16" i="96" s="1"/>
  <c r="O81" i="94"/>
  <c r="M16" i="96" s="1"/>
  <c r="K81" i="94"/>
  <c r="I16" i="96" s="1"/>
  <c r="G81" i="94"/>
  <c r="E16" i="96" s="1"/>
  <c r="D84" i="94"/>
  <c r="I85"/>
  <c r="L19" i="121"/>
  <c r="H19"/>
  <c r="Q18"/>
  <c r="P18"/>
  <c r="O18"/>
  <c r="N18"/>
  <c r="M18"/>
  <c r="L18"/>
  <c r="K18"/>
  <c r="J18"/>
  <c r="G18"/>
  <c r="E18" s="1"/>
  <c r="F18"/>
  <c r="E17"/>
  <c r="D17"/>
  <c r="E16"/>
  <c r="D16"/>
  <c r="S15"/>
  <c r="S11"/>
  <c r="Q15"/>
  <c r="Q11" s="1"/>
  <c r="Q10" s="1"/>
  <c r="Q9" s="1"/>
  <c r="O15"/>
  <c r="O11" s="1"/>
  <c r="O10" s="1"/>
  <c r="O9" s="1"/>
  <c r="K15"/>
  <c r="K11" s="1"/>
  <c r="K10" s="1"/>
  <c r="K9" s="1"/>
  <c r="G15"/>
  <c r="D15"/>
  <c r="D11" s="1"/>
  <c r="M14"/>
  <c r="M19" s="1"/>
  <c r="I14"/>
  <c r="D14"/>
  <c r="Q13"/>
  <c r="P13"/>
  <c r="O13"/>
  <c r="N13"/>
  <c r="M13"/>
  <c r="L13"/>
  <c r="K13"/>
  <c r="J13"/>
  <c r="G13"/>
  <c r="F13"/>
  <c r="E12"/>
  <c r="D12"/>
  <c r="R11"/>
  <c r="P11"/>
  <c r="N11"/>
  <c r="M11"/>
  <c r="M10" s="1"/>
  <c r="M9" s="1"/>
  <c r="L11"/>
  <c r="J11"/>
  <c r="I11"/>
  <c r="H11"/>
  <c r="D10"/>
  <c r="D9"/>
  <c r="S10" i="120"/>
  <c r="S193" i="94" s="1"/>
  <c r="Q28" i="96" s="1"/>
  <c r="Q10" i="120"/>
  <c r="Q193" i="94" s="1"/>
  <c r="O28" i="96" s="1"/>
  <c r="O10" i="120"/>
  <c r="O193" i="94" s="1"/>
  <c r="M28" i="96" s="1"/>
  <c r="M10" i="120"/>
  <c r="M193" i="94" s="1"/>
  <c r="K28" i="96" s="1"/>
  <c r="K10" i="120"/>
  <c r="K193" i="94" s="1"/>
  <c r="I28" i="96" s="1"/>
  <c r="I10" i="120"/>
  <c r="I193" i="94" s="1"/>
  <c r="G28" i="96" s="1"/>
  <c r="G10" i="120"/>
  <c r="G193" i="94"/>
  <c r="D10" i="120"/>
  <c r="G71" i="94"/>
  <c r="G214"/>
  <c r="G160"/>
  <c r="D159"/>
  <c r="G110"/>
  <c r="G57"/>
  <c r="I60"/>
  <c r="I57"/>
  <c r="I245"/>
  <c r="I100"/>
  <c r="I90"/>
  <c r="H88"/>
  <c r="H116"/>
  <c r="D116"/>
  <c r="G66"/>
  <c r="D65"/>
  <c r="N76" i="119"/>
  <c r="L76" s="1"/>
  <c r="AF76" s="1"/>
  <c r="I76"/>
  <c r="G76" s="1"/>
  <c r="N75"/>
  <c r="L75"/>
  <c r="J75"/>
  <c r="H75"/>
  <c r="M74"/>
  <c r="K74"/>
  <c r="K73" s="1"/>
  <c r="J74"/>
  <c r="J73" s="1"/>
  <c r="M73"/>
  <c r="N72"/>
  <c r="L72" s="1"/>
  <c r="AF72" s="1"/>
  <c r="I72"/>
  <c r="G72"/>
  <c r="N71"/>
  <c r="I71"/>
  <c r="G71"/>
  <c r="AF70"/>
  <c r="I70"/>
  <c r="M69"/>
  <c r="M68"/>
  <c r="K69"/>
  <c r="K68" s="1"/>
  <c r="J69"/>
  <c r="J68" s="1"/>
  <c r="H69"/>
  <c r="H68"/>
  <c r="L67"/>
  <c r="X67" s="1"/>
  <c r="J67"/>
  <c r="H67"/>
  <c r="N66"/>
  <c r="L66" s="1"/>
  <c r="J66"/>
  <c r="H66"/>
  <c r="H65"/>
  <c r="H64" s="1"/>
  <c r="M65"/>
  <c r="K65"/>
  <c r="K64" s="1"/>
  <c r="M64"/>
  <c r="AF63"/>
  <c r="X63"/>
  <c r="J63"/>
  <c r="H63"/>
  <c r="I63" s="1"/>
  <c r="N62"/>
  <c r="L62" s="1"/>
  <c r="J62"/>
  <c r="H62"/>
  <c r="I62"/>
  <c r="N61"/>
  <c r="L61" s="1"/>
  <c r="J61"/>
  <c r="H61"/>
  <c r="I61" s="1"/>
  <c r="G61" s="1"/>
  <c r="N60"/>
  <c r="G60" i="94" s="1"/>
  <c r="E60" s="1"/>
  <c r="J60" i="119"/>
  <c r="J59" s="1"/>
  <c r="J58" s="1"/>
  <c r="H60"/>
  <c r="I60" s="1"/>
  <c r="M59"/>
  <c r="K59"/>
  <c r="K58" s="1"/>
  <c r="M58"/>
  <c r="M57" s="1"/>
  <c r="L56"/>
  <c r="X56" s="1"/>
  <c r="I56"/>
  <c r="I55" s="1"/>
  <c r="I54" s="1"/>
  <c r="N55"/>
  <c r="N54" s="1"/>
  <c r="M55"/>
  <c r="M54" s="1"/>
  <c r="K55"/>
  <c r="J55"/>
  <c r="J54"/>
  <c r="H55"/>
  <c r="H54" s="1"/>
  <c r="G55"/>
  <c r="G54" s="1"/>
  <c r="N53"/>
  <c r="G53"/>
  <c r="G50" s="1"/>
  <c r="G49" s="1"/>
  <c r="N52"/>
  <c r="I86" i="94" s="1"/>
  <c r="G52" i="119"/>
  <c r="N51"/>
  <c r="I51"/>
  <c r="I50" s="1"/>
  <c r="I49" s="1"/>
  <c r="M50"/>
  <c r="M49" s="1"/>
  <c r="K50"/>
  <c r="K49" s="1"/>
  <c r="J50"/>
  <c r="J49" s="1"/>
  <c r="H50"/>
  <c r="H49"/>
  <c r="N48"/>
  <c r="L48" s="1"/>
  <c r="I48"/>
  <c r="N47"/>
  <c r="L47"/>
  <c r="X47" s="1"/>
  <c r="I104" i="94"/>
  <c r="I47" i="119"/>
  <c r="N46"/>
  <c r="I93" i="94" s="1"/>
  <c r="L46" i="119"/>
  <c r="X46" s="1"/>
  <c r="G46"/>
  <c r="N45"/>
  <c r="L45" s="1"/>
  <c r="X45" s="1"/>
  <c r="G45"/>
  <c r="G43" s="1"/>
  <c r="G42" s="1"/>
  <c r="N44"/>
  <c r="J44"/>
  <c r="J43" s="1"/>
  <c r="J42" s="1"/>
  <c r="H44"/>
  <c r="M43"/>
  <c r="M42" s="1"/>
  <c r="K43"/>
  <c r="K42" s="1"/>
  <c r="N41"/>
  <c r="L41" s="1"/>
  <c r="K41"/>
  <c r="G41"/>
  <c r="N40"/>
  <c r="L40" s="1"/>
  <c r="I40"/>
  <c r="N39"/>
  <c r="L39" s="1"/>
  <c r="I39"/>
  <c r="N38"/>
  <c r="L38"/>
  <c r="I38"/>
  <c r="N37"/>
  <c r="L37" s="1"/>
  <c r="I37"/>
  <c r="N36"/>
  <c r="L36" s="1"/>
  <c r="AF36" s="1"/>
  <c r="AG36" s="1"/>
  <c r="I36"/>
  <c r="N35"/>
  <c r="L35" s="1"/>
  <c r="K35"/>
  <c r="I35"/>
  <c r="N34"/>
  <c r="L34" s="1"/>
  <c r="X34" s="1"/>
  <c r="K34"/>
  <c r="I34"/>
  <c r="N33"/>
  <c r="L33" s="1"/>
  <c r="G33"/>
  <c r="G31" s="1"/>
  <c r="G30" s="1"/>
  <c r="N32"/>
  <c r="I32"/>
  <c r="M31"/>
  <c r="I39" i="94" s="1"/>
  <c r="M30" i="119"/>
  <c r="J31"/>
  <c r="J30" s="1"/>
  <c r="J29" s="1"/>
  <c r="H31"/>
  <c r="H30" s="1"/>
  <c r="N27"/>
  <c r="N26"/>
  <c r="N25" s="1"/>
  <c r="J27"/>
  <c r="J26" s="1"/>
  <c r="J25" s="1"/>
  <c r="H27"/>
  <c r="M26"/>
  <c r="M25"/>
  <c r="K26"/>
  <c r="K25" s="1"/>
  <c r="N24"/>
  <c r="L24"/>
  <c r="X24" s="1"/>
  <c r="J24"/>
  <c r="J22" s="1"/>
  <c r="J21" s="1"/>
  <c r="H24"/>
  <c r="N23"/>
  <c r="I23"/>
  <c r="G23" s="1"/>
  <c r="M22"/>
  <c r="M21" s="1"/>
  <c r="K22"/>
  <c r="K21" s="1"/>
  <c r="N19"/>
  <c r="L19" s="1"/>
  <c r="G19"/>
  <c r="S19" s="1"/>
  <c r="N18"/>
  <c r="L18" s="1"/>
  <c r="X18" s="1"/>
  <c r="G18"/>
  <c r="G16"/>
  <c r="N17"/>
  <c r="L17" s="1"/>
  <c r="G17"/>
  <c r="M16"/>
  <c r="K16"/>
  <c r="K15" s="1"/>
  <c r="K14" s="1"/>
  <c r="J16"/>
  <c r="J15" s="1"/>
  <c r="J14" s="1"/>
  <c r="I16"/>
  <c r="I15"/>
  <c r="I14" s="1"/>
  <c r="H16"/>
  <c r="H15" s="1"/>
  <c r="H14" s="1"/>
  <c r="AE15"/>
  <c r="AD15"/>
  <c r="AC15"/>
  <c r="AB15"/>
  <c r="R15"/>
  <c r="AA14"/>
  <c r="AA13"/>
  <c r="V10"/>
  <c r="A3"/>
  <c r="AF67"/>
  <c r="AH67"/>
  <c r="P43" i="94"/>
  <c r="U27" i="117"/>
  <c r="G27" s="1"/>
  <c r="I45" i="94"/>
  <c r="I16" s="1"/>
  <c r="U13" i="117"/>
  <c r="K158" i="94"/>
  <c r="S89"/>
  <c r="S88"/>
  <c r="U14" i="117"/>
  <c r="G14" s="1"/>
  <c r="K98" i="94"/>
  <c r="J88"/>
  <c r="M253"/>
  <c r="E253" s="1"/>
  <c r="D253"/>
  <c r="B125" i="117"/>
  <c r="H230"/>
  <c r="H234" s="1"/>
  <c r="H233" s="1"/>
  <c r="E229"/>
  <c r="H228"/>
  <c r="B228"/>
  <c r="B227"/>
  <c r="H226"/>
  <c r="U226" s="1"/>
  <c r="B226"/>
  <c r="H225"/>
  <c r="B225"/>
  <c r="B224"/>
  <c r="H223"/>
  <c r="Q156" i="94" s="1"/>
  <c r="B223" i="117"/>
  <c r="H222"/>
  <c r="U222" s="1"/>
  <c r="H221"/>
  <c r="U221" s="1"/>
  <c r="H220"/>
  <c r="H219"/>
  <c r="U219"/>
  <c r="H218"/>
  <c r="H217"/>
  <c r="H216"/>
  <c r="B216"/>
  <c r="H215"/>
  <c r="Q69" i="94" s="1"/>
  <c r="B215" i="117"/>
  <c r="B214"/>
  <c r="H213"/>
  <c r="Q107" i="94" s="1"/>
  <c r="B213" i="117"/>
  <c r="B212"/>
  <c r="H211"/>
  <c r="U211"/>
  <c r="B210"/>
  <c r="B209"/>
  <c r="H208"/>
  <c r="Q133" i="94" s="1"/>
  <c r="H207" i="117"/>
  <c r="Q131" i="94" s="1"/>
  <c r="B208" i="117"/>
  <c r="B207"/>
  <c r="H206"/>
  <c r="H205"/>
  <c r="B206"/>
  <c r="B205"/>
  <c r="H204"/>
  <c r="B204"/>
  <c r="H203"/>
  <c r="B203"/>
  <c r="H202"/>
  <c r="B202"/>
  <c r="B201"/>
  <c r="H200"/>
  <c r="U200"/>
  <c r="B200"/>
  <c r="H199"/>
  <c r="U199" s="1"/>
  <c r="B199"/>
  <c r="H198"/>
  <c r="B198"/>
  <c r="B197"/>
  <c r="H196"/>
  <c r="H195" s="1"/>
  <c r="B195"/>
  <c r="H194"/>
  <c r="H193" s="1"/>
  <c r="B194"/>
  <c r="B193"/>
  <c r="H174"/>
  <c r="H173" s="1"/>
  <c r="B174"/>
  <c r="E172"/>
  <c r="H171"/>
  <c r="H170" s="1"/>
  <c r="B171"/>
  <c r="B170"/>
  <c r="H169"/>
  <c r="H168" s="1"/>
  <c r="B169"/>
  <c r="B168"/>
  <c r="H167"/>
  <c r="B167"/>
  <c r="H166"/>
  <c r="B166"/>
  <c r="H164"/>
  <c r="B164"/>
  <c r="H163"/>
  <c r="B163"/>
  <c r="H161"/>
  <c r="B161"/>
  <c r="H160"/>
  <c r="B160"/>
  <c r="H159"/>
  <c r="O69" i="94" s="1"/>
  <c r="B159" i="117"/>
  <c r="H157"/>
  <c r="B157"/>
  <c r="H156"/>
  <c r="B156"/>
  <c r="H155"/>
  <c r="H153" s="1"/>
  <c r="B155"/>
  <c r="H154"/>
  <c r="B154"/>
  <c r="H152"/>
  <c r="B152"/>
  <c r="H151"/>
  <c r="H127" s="1"/>
  <c r="E126"/>
  <c r="H125"/>
  <c r="H124"/>
  <c r="B124"/>
  <c r="H123"/>
  <c r="B123"/>
  <c r="H122"/>
  <c r="B122"/>
  <c r="H121"/>
  <c r="B121"/>
  <c r="H120"/>
  <c r="B120"/>
  <c r="E118"/>
  <c r="H117"/>
  <c r="H116"/>
  <c r="H115"/>
  <c r="H114" s="1"/>
  <c r="H113"/>
  <c r="H112" s="1"/>
  <c r="H111"/>
  <c r="H109"/>
  <c r="H108" s="1"/>
  <c r="K89" i="94"/>
  <c r="H107" i="117"/>
  <c r="H106" s="1"/>
  <c r="B107"/>
  <c r="H105"/>
  <c r="B105"/>
  <c r="B104"/>
  <c r="E103"/>
  <c r="H101"/>
  <c r="H99"/>
  <c r="H97"/>
  <c r="H95"/>
  <c r="H93" s="1"/>
  <c r="E93"/>
  <c r="H91"/>
  <c r="H89"/>
  <c r="H88"/>
  <c r="H87" s="1"/>
  <c r="G69" i="94" s="1"/>
  <c r="B88" i="117"/>
  <c r="E86"/>
  <c r="H84"/>
  <c r="B84"/>
  <c r="H83"/>
  <c r="B83"/>
  <c r="H82"/>
  <c r="B82"/>
  <c r="H80"/>
  <c r="H79" s="1"/>
  <c r="B80"/>
  <c r="H78"/>
  <c r="H77" s="1"/>
  <c r="B78"/>
  <c r="H76"/>
  <c r="B76"/>
  <c r="H75"/>
  <c r="B75"/>
  <c r="H74"/>
  <c r="H73"/>
  <c r="H72"/>
  <c r="H71"/>
  <c r="H70"/>
  <c r="H69"/>
  <c r="B69"/>
  <c r="H68"/>
  <c r="B68"/>
  <c r="H67"/>
  <c r="B67"/>
  <c r="H66"/>
  <c r="B66"/>
  <c r="H64"/>
  <c r="H63" s="1"/>
  <c r="B64"/>
  <c r="H62"/>
  <c r="H61"/>
  <c r="H57"/>
  <c r="B57"/>
  <c r="H56"/>
  <c r="B56"/>
  <c r="H55"/>
  <c r="B55"/>
  <c r="H54"/>
  <c r="B54"/>
  <c r="H53"/>
  <c r="B53"/>
  <c r="H52"/>
  <c r="B52"/>
  <c r="H51"/>
  <c r="B51"/>
  <c r="H50"/>
  <c r="B50"/>
  <c r="H49"/>
  <c r="B49"/>
  <c r="H48"/>
  <c r="B48"/>
  <c r="H47"/>
  <c r="B47"/>
  <c r="H46"/>
  <c r="H45"/>
  <c r="B45"/>
  <c r="H44"/>
  <c r="H43"/>
  <c r="H42"/>
  <c r="B42"/>
  <c r="H40"/>
  <c r="B40"/>
  <c r="H39"/>
  <c r="B39"/>
  <c r="H38"/>
  <c r="H37"/>
  <c r="B37"/>
  <c r="H32"/>
  <c r="B32"/>
  <c r="H30"/>
  <c r="U30"/>
  <c r="H29"/>
  <c r="U29" s="1"/>
  <c r="F29" s="1"/>
  <c r="H28"/>
  <c r="B28"/>
  <c r="B27"/>
  <c r="H26"/>
  <c r="U26" s="1"/>
  <c r="G26" s="1"/>
  <c r="F26"/>
  <c r="B26"/>
  <c r="H25"/>
  <c r="B25"/>
  <c r="H24"/>
  <c r="U24" s="1"/>
  <c r="F24" s="1"/>
  <c r="B24"/>
  <c r="H23"/>
  <c r="U23" s="1"/>
  <c r="B23"/>
  <c r="H22"/>
  <c r="U22" s="1"/>
  <c r="B22"/>
  <c r="H21"/>
  <c r="B21"/>
  <c r="H20"/>
  <c r="U20" s="1"/>
  <c r="B20"/>
  <c r="H19"/>
  <c r="U19"/>
  <c r="F19" s="1"/>
  <c r="B19"/>
  <c r="H18"/>
  <c r="U18" s="1"/>
  <c r="B18"/>
  <c r="H17"/>
  <c r="U17" s="1"/>
  <c r="B17"/>
  <c r="H16"/>
  <c r="B16"/>
  <c r="H15"/>
  <c r="K45" i="94" s="1"/>
  <c r="K99"/>
  <c r="Q157"/>
  <c r="Q258"/>
  <c r="U208" i="117"/>
  <c r="I106" i="94"/>
  <c r="I96"/>
  <c r="I260"/>
  <c r="E92" i="116"/>
  <c r="AJ92"/>
  <c r="E91"/>
  <c r="E90"/>
  <c r="AJ90" s="1"/>
  <c r="AI89"/>
  <c r="AH89"/>
  <c r="AG89"/>
  <c r="AF89"/>
  <c r="AE89"/>
  <c r="AD89"/>
  <c r="AC89"/>
  <c r="AB89"/>
  <c r="AA89"/>
  <c r="Z89"/>
  <c r="Y89"/>
  <c r="X89"/>
  <c r="I169" i="94"/>
  <c r="W89" i="116"/>
  <c r="V89"/>
  <c r="U89"/>
  <c r="T89"/>
  <c r="S89"/>
  <c r="R89"/>
  <c r="Q89"/>
  <c r="Q77"/>
  <c r="Q76" s="1"/>
  <c r="P89"/>
  <c r="O89"/>
  <c r="N89"/>
  <c r="M89"/>
  <c r="L89"/>
  <c r="K89"/>
  <c r="J89"/>
  <c r="I89"/>
  <c r="H89"/>
  <c r="G89"/>
  <c r="E88"/>
  <c r="E87" s="1"/>
  <c r="AF87"/>
  <c r="AF82" s="1"/>
  <c r="AE87"/>
  <c r="AD87"/>
  <c r="AD82" s="1"/>
  <c r="AC87"/>
  <c r="AC82"/>
  <c r="AB87"/>
  <c r="AA87"/>
  <c r="AA82" s="1"/>
  <c r="Z87"/>
  <c r="Z82" s="1"/>
  <c r="Y87"/>
  <c r="Y82" s="1"/>
  <c r="X87"/>
  <c r="X82"/>
  <c r="X77" s="1"/>
  <c r="X76" s="1"/>
  <c r="W87"/>
  <c r="V87"/>
  <c r="V82" s="1"/>
  <c r="U87"/>
  <c r="T87"/>
  <c r="T82" s="1"/>
  <c r="S87"/>
  <c r="S82" s="1"/>
  <c r="R87"/>
  <c r="R82" s="1"/>
  <c r="Q87"/>
  <c r="P87"/>
  <c r="O87"/>
  <c r="O82" s="1"/>
  <c r="N87"/>
  <c r="N82" s="1"/>
  <c r="M87"/>
  <c r="M82" s="1"/>
  <c r="L87"/>
  <c r="L82"/>
  <c r="K87"/>
  <c r="K82" s="1"/>
  <c r="J87"/>
  <c r="J82"/>
  <c r="I87"/>
  <c r="I82" s="1"/>
  <c r="H87"/>
  <c r="H82" s="1"/>
  <c r="G87"/>
  <c r="G82" s="1"/>
  <c r="E86"/>
  <c r="F85"/>
  <c r="E85"/>
  <c r="E84"/>
  <c r="F84" s="1"/>
  <c r="AB82"/>
  <c r="Q82"/>
  <c r="E81"/>
  <c r="F81" s="1"/>
  <c r="P80"/>
  <c r="J80"/>
  <c r="AI79"/>
  <c r="AI77" s="1"/>
  <c r="AI76" s="1"/>
  <c r="AH79"/>
  <c r="AH77" s="1"/>
  <c r="AH76" s="1"/>
  <c r="AG79"/>
  <c r="AG77" s="1"/>
  <c r="AG76" s="1"/>
  <c r="AF79"/>
  <c r="AE79"/>
  <c r="AD79"/>
  <c r="AC79"/>
  <c r="AB79"/>
  <c r="AA79"/>
  <c r="Z79"/>
  <c r="Y79"/>
  <c r="X79"/>
  <c r="W79"/>
  <c r="V79"/>
  <c r="V77"/>
  <c r="V76" s="1"/>
  <c r="U79"/>
  <c r="T79"/>
  <c r="S79"/>
  <c r="R79"/>
  <c r="Q79"/>
  <c r="O79"/>
  <c r="O77" s="1"/>
  <c r="O76" s="1"/>
  <c r="N79"/>
  <c r="N77" s="1"/>
  <c r="N76" s="1"/>
  <c r="M79"/>
  <c r="L79"/>
  <c r="K79"/>
  <c r="I79"/>
  <c r="H79"/>
  <c r="G79"/>
  <c r="T78"/>
  <c r="P78"/>
  <c r="E78"/>
  <c r="F78" s="1"/>
  <c r="E75"/>
  <c r="F75" s="1"/>
  <c r="X74"/>
  <c r="E74" s="1"/>
  <c r="AI73"/>
  <c r="AH73"/>
  <c r="AG73"/>
  <c r="AF73"/>
  <c r="AE73"/>
  <c r="AD73"/>
  <c r="AC73"/>
  <c r="AB73"/>
  <c r="AA73"/>
  <c r="Z73"/>
  <c r="Y73"/>
  <c r="W73"/>
  <c r="V73"/>
  <c r="U73"/>
  <c r="T73"/>
  <c r="S73"/>
  <c r="R73"/>
  <c r="Q73"/>
  <c r="P73"/>
  <c r="O73"/>
  <c r="N73"/>
  <c r="M73"/>
  <c r="L73"/>
  <c r="K73"/>
  <c r="J73"/>
  <c r="I73"/>
  <c r="H73"/>
  <c r="G73"/>
  <c r="E72"/>
  <c r="AF71"/>
  <c r="AE71"/>
  <c r="AD71"/>
  <c r="AC71"/>
  <c r="AB71"/>
  <c r="AA71"/>
  <c r="Z71"/>
  <c r="Y71"/>
  <c r="X71"/>
  <c r="W71"/>
  <c r="V71"/>
  <c r="U71"/>
  <c r="T71"/>
  <c r="S71"/>
  <c r="R71"/>
  <c r="Q71"/>
  <c r="P71"/>
  <c r="O71"/>
  <c r="N71"/>
  <c r="M71"/>
  <c r="L71"/>
  <c r="K71"/>
  <c r="J71"/>
  <c r="I71"/>
  <c r="H71"/>
  <c r="G71"/>
  <c r="R70"/>
  <c r="R69"/>
  <c r="P69" s="1"/>
  <c r="E69" s="1"/>
  <c r="N68"/>
  <c r="N65" s="1"/>
  <c r="P67"/>
  <c r="E67" s="1"/>
  <c r="M66"/>
  <c r="E66" s="1"/>
  <c r="AI65"/>
  <c r="AH65"/>
  <c r="AG65"/>
  <c r="AF65"/>
  <c r="AE65"/>
  <c r="AD65"/>
  <c r="AC65"/>
  <c r="AB65"/>
  <c r="AA65"/>
  <c r="Z65"/>
  <c r="Y65"/>
  <c r="X65"/>
  <c r="W65"/>
  <c r="V65"/>
  <c r="U65"/>
  <c r="T65"/>
  <c r="S65"/>
  <c r="Q65"/>
  <c r="O65"/>
  <c r="L65"/>
  <c r="K65"/>
  <c r="J65"/>
  <c r="I65"/>
  <c r="H65"/>
  <c r="G65"/>
  <c r="E64"/>
  <c r="E63"/>
  <c r="F63"/>
  <c r="AL62"/>
  <c r="E62"/>
  <c r="F62" s="1"/>
  <c r="E61"/>
  <c r="AI60"/>
  <c r="AI23" s="1"/>
  <c r="AH60"/>
  <c r="AG60"/>
  <c r="E60"/>
  <c r="F60"/>
  <c r="F23" s="1"/>
  <c r="AK23" s="1"/>
  <c r="J59"/>
  <c r="J57" s="1"/>
  <c r="J58"/>
  <c r="AI57"/>
  <c r="AI45"/>
  <c r="AH57"/>
  <c r="AG57"/>
  <c r="AG45"/>
  <c r="AF57"/>
  <c r="AF22" s="1"/>
  <c r="AE57"/>
  <c r="AD57"/>
  <c r="AD22" s="1"/>
  <c r="AC57"/>
  <c r="AB57"/>
  <c r="AB22" s="1"/>
  <c r="AA57"/>
  <c r="Z57"/>
  <c r="Y57"/>
  <c r="Y45" s="1"/>
  <c r="X57"/>
  <c r="W57"/>
  <c r="V57"/>
  <c r="V22" s="1"/>
  <c r="U57"/>
  <c r="T57"/>
  <c r="T22"/>
  <c r="S57"/>
  <c r="S22" s="1"/>
  <c r="R57"/>
  <c r="Q57"/>
  <c r="P57"/>
  <c r="O57"/>
  <c r="N57"/>
  <c r="M57"/>
  <c r="L57"/>
  <c r="K57"/>
  <c r="I57"/>
  <c r="H57"/>
  <c r="G57"/>
  <c r="E56"/>
  <c r="F56" s="1"/>
  <c r="E55"/>
  <c r="F55" s="1"/>
  <c r="E54"/>
  <c r="F54" s="1"/>
  <c r="E53"/>
  <c r="F53"/>
  <c r="K48"/>
  <c r="J48" s="1"/>
  <c r="J46" s="1"/>
  <c r="P47"/>
  <c r="P46" s="1"/>
  <c r="AF46"/>
  <c r="AE46"/>
  <c r="AD46"/>
  <c r="AC46"/>
  <c r="AC45" s="1"/>
  <c r="AB46"/>
  <c r="AB21" s="1"/>
  <c r="AA46"/>
  <c r="AA45" s="1"/>
  <c r="AA38"/>
  <c r="AA37" s="1"/>
  <c r="Z46"/>
  <c r="Y46"/>
  <c r="X46"/>
  <c r="X45" s="1"/>
  <c r="W46"/>
  <c r="W45" s="1"/>
  <c r="V46"/>
  <c r="U46"/>
  <c r="T46"/>
  <c r="T45" s="1"/>
  <c r="S46"/>
  <c r="R46"/>
  <c r="Q46"/>
  <c r="Q45" s="1"/>
  <c r="O46"/>
  <c r="N46"/>
  <c r="N45"/>
  <c r="M46"/>
  <c r="L46"/>
  <c r="I46"/>
  <c r="H46"/>
  <c r="H45" s="1"/>
  <c r="H38" s="1"/>
  <c r="H37" s="1"/>
  <c r="H11" s="1"/>
  <c r="G46"/>
  <c r="J44"/>
  <c r="E44" s="1"/>
  <c r="U43"/>
  <c r="U18" s="1"/>
  <c r="M43"/>
  <c r="N42"/>
  <c r="N40" s="1"/>
  <c r="J42"/>
  <c r="M41"/>
  <c r="J41"/>
  <c r="J40" s="1"/>
  <c r="AF40"/>
  <c r="AE40"/>
  <c r="AD40"/>
  <c r="AC40"/>
  <c r="AB40"/>
  <c r="AA40"/>
  <c r="Z40"/>
  <c r="Y40"/>
  <c r="Y38" s="1"/>
  <c r="Y37" s="1"/>
  <c r="X40"/>
  <c r="W40"/>
  <c r="V40"/>
  <c r="T40"/>
  <c r="R40"/>
  <c r="Q40"/>
  <c r="P40"/>
  <c r="O40"/>
  <c r="L40"/>
  <c r="K40"/>
  <c r="I40"/>
  <c r="H40"/>
  <c r="G40"/>
  <c r="T39"/>
  <c r="T13" s="1"/>
  <c r="G39"/>
  <c r="F39"/>
  <c r="F13"/>
  <c r="AI37"/>
  <c r="AH37"/>
  <c r="AG37"/>
  <c r="AI36"/>
  <c r="AH36"/>
  <c r="AG36"/>
  <c r="AF36"/>
  <c r="AE36"/>
  <c r="AD36"/>
  <c r="AC36"/>
  <c r="AB36"/>
  <c r="AA36"/>
  <c r="Z36"/>
  <c r="Y36"/>
  <c r="W36"/>
  <c r="V36"/>
  <c r="U36"/>
  <c r="T36"/>
  <c r="S36"/>
  <c r="R36"/>
  <c r="Q36"/>
  <c r="P36"/>
  <c r="I36"/>
  <c r="H36"/>
  <c r="G36"/>
  <c r="F36"/>
  <c r="E36"/>
  <c r="D36"/>
  <c r="AF35"/>
  <c r="AE35"/>
  <c r="AD35"/>
  <c r="AC35"/>
  <c r="AB35"/>
  <c r="AA35"/>
  <c r="Z35"/>
  <c r="Y35"/>
  <c r="W35"/>
  <c r="V35"/>
  <c r="U35"/>
  <c r="T35"/>
  <c r="S35"/>
  <c r="R35"/>
  <c r="Q35"/>
  <c r="P35"/>
  <c r="I35"/>
  <c r="I32" s="1"/>
  <c r="H35"/>
  <c r="G35"/>
  <c r="F35"/>
  <c r="E35"/>
  <c r="D35"/>
  <c r="AI34"/>
  <c r="AH34"/>
  <c r="AG34"/>
  <c r="AF34"/>
  <c r="AE34"/>
  <c r="AD34"/>
  <c r="AC34"/>
  <c r="AB34"/>
  <c r="AA34"/>
  <c r="Z34"/>
  <c r="Y34"/>
  <c r="W34"/>
  <c r="V34"/>
  <c r="U34"/>
  <c r="T34"/>
  <c r="S34"/>
  <c r="R34"/>
  <c r="Q34"/>
  <c r="P34"/>
  <c r="I34"/>
  <c r="H34"/>
  <c r="G34"/>
  <c r="F34"/>
  <c r="E34"/>
  <c r="D34"/>
  <c r="AI33"/>
  <c r="AH33"/>
  <c r="AG33"/>
  <c r="AF33"/>
  <c r="AE33"/>
  <c r="AD33"/>
  <c r="AC33"/>
  <c r="AB33"/>
  <c r="AB32"/>
  <c r="AA33"/>
  <c r="Z33"/>
  <c r="Y33"/>
  <c r="W33"/>
  <c r="W32" s="1"/>
  <c r="V33"/>
  <c r="U33"/>
  <c r="T33"/>
  <c r="S33"/>
  <c r="R33"/>
  <c r="Q33"/>
  <c r="Q32" s="1"/>
  <c r="P33"/>
  <c r="I33"/>
  <c r="H33"/>
  <c r="G33"/>
  <c r="F33"/>
  <c r="E33"/>
  <c r="D33"/>
  <c r="AI31"/>
  <c r="AH31"/>
  <c r="AG31"/>
  <c r="AF31"/>
  <c r="AE31"/>
  <c r="AD31"/>
  <c r="AC31"/>
  <c r="AB31"/>
  <c r="AA31"/>
  <c r="Z31"/>
  <c r="Y31"/>
  <c r="W31"/>
  <c r="V31"/>
  <c r="U31"/>
  <c r="T31"/>
  <c r="S31"/>
  <c r="R31"/>
  <c r="Q31"/>
  <c r="P31"/>
  <c r="I31"/>
  <c r="H31"/>
  <c r="G31"/>
  <c r="D31"/>
  <c r="AI30"/>
  <c r="AI13" s="1"/>
  <c r="AI12" s="1"/>
  <c r="AI10" s="1"/>
  <c r="AH30"/>
  <c r="AG30"/>
  <c r="AF30"/>
  <c r="AE30"/>
  <c r="AD30"/>
  <c r="AC30"/>
  <c r="AB30"/>
  <c r="AA30"/>
  <c r="Z30"/>
  <c r="Y30"/>
  <c r="W30"/>
  <c r="V30"/>
  <c r="U30"/>
  <c r="T30"/>
  <c r="S30"/>
  <c r="R30"/>
  <c r="Q30"/>
  <c r="P30"/>
  <c r="I30"/>
  <c r="H30"/>
  <c r="G30"/>
  <c r="D30"/>
  <c r="AI29"/>
  <c r="AH29"/>
  <c r="AG29"/>
  <c r="AF29"/>
  <c r="AE29"/>
  <c r="AD29"/>
  <c r="AC29"/>
  <c r="AB29"/>
  <c r="AA29"/>
  <c r="Z29"/>
  <c r="Y29"/>
  <c r="W29"/>
  <c r="V29"/>
  <c r="U29"/>
  <c r="T29"/>
  <c r="S29"/>
  <c r="R29"/>
  <c r="Q29"/>
  <c r="P29"/>
  <c r="I29"/>
  <c r="H29"/>
  <c r="G29"/>
  <c r="F29"/>
  <c r="E29"/>
  <c r="D29"/>
  <c r="AF28"/>
  <c r="AE28"/>
  <c r="AD28"/>
  <c r="AC28"/>
  <c r="AB28"/>
  <c r="AA28"/>
  <c r="Z28"/>
  <c r="Y28"/>
  <c r="W28"/>
  <c r="V28"/>
  <c r="U28"/>
  <c r="T28"/>
  <c r="S28"/>
  <c r="Q28"/>
  <c r="I28"/>
  <c r="H28"/>
  <c r="G28"/>
  <c r="D28"/>
  <c r="AI27"/>
  <c r="AH27"/>
  <c r="AG27"/>
  <c r="AF27"/>
  <c r="AE27"/>
  <c r="AD27"/>
  <c r="AC27"/>
  <c r="AB27"/>
  <c r="AA27"/>
  <c r="Z27"/>
  <c r="Y27"/>
  <c r="W27"/>
  <c r="V27"/>
  <c r="U27"/>
  <c r="T27"/>
  <c r="S27"/>
  <c r="R27"/>
  <c r="Q27"/>
  <c r="P27"/>
  <c r="I27"/>
  <c r="H27"/>
  <c r="G27"/>
  <c r="D27"/>
  <c r="AI26"/>
  <c r="AH26"/>
  <c r="AG26"/>
  <c r="AF26"/>
  <c r="AE26"/>
  <c r="AD26"/>
  <c r="AC26"/>
  <c r="AB26"/>
  <c r="AA26"/>
  <c r="Z26"/>
  <c r="Y26"/>
  <c r="W26"/>
  <c r="V26"/>
  <c r="U26"/>
  <c r="U24" s="1"/>
  <c r="T26"/>
  <c r="S26"/>
  <c r="R26"/>
  <c r="Q26"/>
  <c r="I26"/>
  <c r="H26"/>
  <c r="G26"/>
  <c r="F26"/>
  <c r="D26"/>
  <c r="AI25"/>
  <c r="AH25"/>
  <c r="AG25"/>
  <c r="AF25"/>
  <c r="AE25"/>
  <c r="AD25"/>
  <c r="AC25"/>
  <c r="AC24" s="1"/>
  <c r="AB25"/>
  <c r="AB24"/>
  <c r="AA25"/>
  <c r="AA24" s="1"/>
  <c r="Z25"/>
  <c r="Y25"/>
  <c r="W25"/>
  <c r="W24" s="1"/>
  <c r="V25"/>
  <c r="U25"/>
  <c r="T25"/>
  <c r="T24"/>
  <c r="S25"/>
  <c r="S24" s="1"/>
  <c r="R25"/>
  <c r="Q25"/>
  <c r="P25"/>
  <c r="I25"/>
  <c r="H25"/>
  <c r="G25"/>
  <c r="D25"/>
  <c r="AG23"/>
  <c r="AF23"/>
  <c r="AE23"/>
  <c r="AD23"/>
  <c r="AC23"/>
  <c r="AB23"/>
  <c r="AA23"/>
  <c r="Z23"/>
  <c r="Y23"/>
  <c r="W23"/>
  <c r="V23"/>
  <c r="U23"/>
  <c r="T23"/>
  <c r="S23"/>
  <c r="R23"/>
  <c r="Q23"/>
  <c r="P23"/>
  <c r="I23"/>
  <c r="H23"/>
  <c r="G23"/>
  <c r="E23"/>
  <c r="D23"/>
  <c r="AE22"/>
  <c r="AE20" s="1"/>
  <c r="AA22"/>
  <c r="Q22"/>
  <c r="H22"/>
  <c r="D22"/>
  <c r="AI21"/>
  <c r="AH21"/>
  <c r="AG21"/>
  <c r="AE21"/>
  <c r="AC21"/>
  <c r="AA21"/>
  <c r="AA20" s="1"/>
  <c r="Z21"/>
  <c r="W21"/>
  <c r="V21"/>
  <c r="V20" s="1"/>
  <c r="T21"/>
  <c r="S21"/>
  <c r="S20" s="1"/>
  <c r="R21"/>
  <c r="G21"/>
  <c r="D21"/>
  <c r="D20"/>
  <c r="AF19"/>
  <c r="AE19"/>
  <c r="AD19"/>
  <c r="AC19"/>
  <c r="AB19"/>
  <c r="AA19"/>
  <c r="Z19"/>
  <c r="Y19"/>
  <c r="W19"/>
  <c r="V19"/>
  <c r="U19"/>
  <c r="T19"/>
  <c r="S19"/>
  <c r="R19"/>
  <c r="Q19"/>
  <c r="P19"/>
  <c r="I19"/>
  <c r="H19"/>
  <c r="G19"/>
  <c r="D19"/>
  <c r="AI18"/>
  <c r="AH18"/>
  <c r="AG18"/>
  <c r="AF18"/>
  <c r="AE18"/>
  <c r="AD18"/>
  <c r="AC18"/>
  <c r="AB18"/>
  <c r="AA18"/>
  <c r="Z18"/>
  <c r="Y18"/>
  <c r="W18"/>
  <c r="V18"/>
  <c r="T18"/>
  <c r="R18"/>
  <c r="Q18"/>
  <c r="P18"/>
  <c r="I18"/>
  <c r="H18"/>
  <c r="G18"/>
  <c r="D18"/>
  <c r="AI17"/>
  <c r="AH17"/>
  <c r="AG17"/>
  <c r="AF17"/>
  <c r="AE17"/>
  <c r="AD17"/>
  <c r="AC17"/>
  <c r="AB17"/>
  <c r="AA17"/>
  <c r="Z17"/>
  <c r="Y17"/>
  <c r="W17"/>
  <c r="V17"/>
  <c r="U17"/>
  <c r="T17"/>
  <c r="AJ17" s="1"/>
  <c r="S17"/>
  <c r="R17"/>
  <c r="Q17"/>
  <c r="P17"/>
  <c r="I17"/>
  <c r="H17"/>
  <c r="G17"/>
  <c r="F17"/>
  <c r="AK17" s="1"/>
  <c r="E17"/>
  <c r="D17"/>
  <c r="AI16"/>
  <c r="AH16"/>
  <c r="AG16"/>
  <c r="AF16"/>
  <c r="AE16"/>
  <c r="AD16"/>
  <c r="AC16"/>
  <c r="AB16"/>
  <c r="AA16"/>
  <c r="Z16"/>
  <c r="Y16"/>
  <c r="W16"/>
  <c r="V16"/>
  <c r="U16"/>
  <c r="T16"/>
  <c r="S16"/>
  <c r="R16"/>
  <c r="Q16"/>
  <c r="P16"/>
  <c r="I16"/>
  <c r="H16"/>
  <c r="G16"/>
  <c r="D16"/>
  <c r="AI15"/>
  <c r="AH15"/>
  <c r="AG15"/>
  <c r="AF15"/>
  <c r="AF14" s="1"/>
  <c r="AE15"/>
  <c r="AE14"/>
  <c r="AD15"/>
  <c r="AD14" s="1"/>
  <c r="AC15"/>
  <c r="AC14" s="1"/>
  <c r="AB15"/>
  <c r="AB14"/>
  <c r="AA15"/>
  <c r="AA14" s="1"/>
  <c r="Z15"/>
  <c r="Z14" s="1"/>
  <c r="Y15"/>
  <c r="Y14" s="1"/>
  <c r="W15"/>
  <c r="W14" s="1"/>
  <c r="V15"/>
  <c r="V14" s="1"/>
  <c r="U15"/>
  <c r="U14" s="1"/>
  <c r="T15"/>
  <c r="S15"/>
  <c r="S14" s="1"/>
  <c r="R15"/>
  <c r="R14" s="1"/>
  <c r="Q15"/>
  <c r="Q14"/>
  <c r="P15"/>
  <c r="P14" s="1"/>
  <c r="I15"/>
  <c r="I14"/>
  <c r="H15"/>
  <c r="H14" s="1"/>
  <c r="G15"/>
  <c r="G14"/>
  <c r="D15"/>
  <c r="D14" s="1"/>
  <c r="T14"/>
  <c r="AG13"/>
  <c r="AG12" s="1"/>
  <c r="AG10" s="1"/>
  <c r="AF13"/>
  <c r="AE13"/>
  <c r="AD13"/>
  <c r="AC13"/>
  <c r="AB13"/>
  <c r="AA13"/>
  <c r="Z13"/>
  <c r="Y13"/>
  <c r="W13"/>
  <c r="V13"/>
  <c r="U13"/>
  <c r="S13"/>
  <c r="R13"/>
  <c r="Q13"/>
  <c r="I13"/>
  <c r="H13"/>
  <c r="E13"/>
  <c r="D13"/>
  <c r="J156" i="94"/>
  <c r="D156" s="1"/>
  <c r="G92" i="109"/>
  <c r="K139" i="94"/>
  <c r="E139" s="1"/>
  <c r="D137"/>
  <c r="D139"/>
  <c r="J153"/>
  <c r="J149"/>
  <c r="K142"/>
  <c r="K131"/>
  <c r="E31" i="105"/>
  <c r="E30" s="1"/>
  <c r="D175" i="94"/>
  <c r="E175"/>
  <c r="D174"/>
  <c r="M251"/>
  <c r="M252" s="1"/>
  <c r="D251"/>
  <c r="M243"/>
  <c r="M247" s="1"/>
  <c r="E244"/>
  <c r="D244"/>
  <c r="D243"/>
  <c r="M240"/>
  <c r="M239"/>
  <c r="D238"/>
  <c r="M163"/>
  <c r="E163" s="1"/>
  <c r="D163"/>
  <c r="M119"/>
  <c r="D119"/>
  <c r="M128"/>
  <c r="M130" s="1"/>
  <c r="M125"/>
  <c r="E125" s="1"/>
  <c r="M64"/>
  <c r="M63"/>
  <c r="E63" s="1"/>
  <c r="D63"/>
  <c r="L153"/>
  <c r="D153" s="1"/>
  <c r="L149"/>
  <c r="L248"/>
  <c r="M165"/>
  <c r="L88"/>
  <c r="L256"/>
  <c r="D256" s="1"/>
  <c r="L183"/>
  <c r="M132"/>
  <c r="L131"/>
  <c r="D131" s="1"/>
  <c r="L48"/>
  <c r="M37"/>
  <c r="L36"/>
  <c r="M220"/>
  <c r="D212"/>
  <c r="D218"/>
  <c r="G7" i="115"/>
  <c r="H7"/>
  <c r="I7"/>
  <c r="J7"/>
  <c r="E8"/>
  <c r="E9"/>
  <c r="D12"/>
  <c r="F12" s="1"/>
  <c r="M12" s="1"/>
  <c r="M31" i="94" s="1"/>
  <c r="M33" s="1"/>
  <c r="F13" i="115"/>
  <c r="G13"/>
  <c r="H13"/>
  <c r="I13"/>
  <c r="J13"/>
  <c r="E14"/>
  <c r="E15"/>
  <c r="E16"/>
  <c r="M174" i="94" s="1"/>
  <c r="E174" s="1"/>
  <c r="E17" i="115"/>
  <c r="F18"/>
  <c r="G18"/>
  <c r="H18"/>
  <c r="I18"/>
  <c r="J18"/>
  <c r="E19"/>
  <c r="E18" s="1"/>
  <c r="F20"/>
  <c r="G20"/>
  <c r="H20"/>
  <c r="I20"/>
  <c r="J20"/>
  <c r="F21"/>
  <c r="E21" s="1"/>
  <c r="F22"/>
  <c r="E22" s="1"/>
  <c r="E23"/>
  <c r="M238" i="94" s="1"/>
  <c r="E238" s="1"/>
  <c r="E24" i="115"/>
  <c r="E25"/>
  <c r="E26"/>
  <c r="E28"/>
  <c r="E29"/>
  <c r="E30"/>
  <c r="A2"/>
  <c r="F150" i="108"/>
  <c r="E150" s="1"/>
  <c r="M149"/>
  <c r="L149"/>
  <c r="K149"/>
  <c r="J149"/>
  <c r="I149"/>
  <c r="H149"/>
  <c r="G149"/>
  <c r="F148"/>
  <c r="E148"/>
  <c r="M147"/>
  <c r="L147"/>
  <c r="K147"/>
  <c r="J147"/>
  <c r="J136" s="1"/>
  <c r="I147"/>
  <c r="H147"/>
  <c r="G147"/>
  <c r="F146"/>
  <c r="E146" s="1"/>
  <c r="M145"/>
  <c r="L145"/>
  <c r="K145"/>
  <c r="J145"/>
  <c r="I145"/>
  <c r="H145"/>
  <c r="G145"/>
  <c r="F144"/>
  <c r="E144" s="1"/>
  <c r="F143"/>
  <c r="E143" s="1"/>
  <c r="M142"/>
  <c r="L142"/>
  <c r="L139" s="1"/>
  <c r="K142"/>
  <c r="K139" s="1"/>
  <c r="J142"/>
  <c r="J139" s="1"/>
  <c r="I142"/>
  <c r="I139" s="1"/>
  <c r="H142"/>
  <c r="H139" s="1"/>
  <c r="G142"/>
  <c r="G139" s="1"/>
  <c r="F141"/>
  <c r="E141"/>
  <c r="F140"/>
  <c r="E140" s="1"/>
  <c r="F138"/>
  <c r="E138" s="1"/>
  <c r="M137"/>
  <c r="L137"/>
  <c r="K137"/>
  <c r="J137"/>
  <c r="I137"/>
  <c r="H137"/>
  <c r="G137"/>
  <c r="F135"/>
  <c r="E135"/>
  <c r="M211" i="94" s="1"/>
  <c r="M134" i="108"/>
  <c r="L134"/>
  <c r="K134"/>
  <c r="J134"/>
  <c r="E134" s="1"/>
  <c r="I134"/>
  <c r="H134"/>
  <c r="G134"/>
  <c r="F133"/>
  <c r="E133" s="1"/>
  <c r="M132"/>
  <c r="L132"/>
  <c r="K132"/>
  <c r="J132"/>
  <c r="J112" s="1"/>
  <c r="I132"/>
  <c r="H132"/>
  <c r="G132"/>
  <c r="F131"/>
  <c r="E131" s="1"/>
  <c r="M164" i="94" s="1"/>
  <c r="M130" i="108"/>
  <c r="L130"/>
  <c r="K130"/>
  <c r="J130"/>
  <c r="I130"/>
  <c r="H130"/>
  <c r="G130"/>
  <c r="F129"/>
  <c r="E129" s="1"/>
  <c r="F128"/>
  <c r="E128"/>
  <c r="M127"/>
  <c r="L127"/>
  <c r="K127"/>
  <c r="J127"/>
  <c r="I127"/>
  <c r="H127"/>
  <c r="G127"/>
  <c r="F126"/>
  <c r="E126"/>
  <c r="F125"/>
  <c r="E125" s="1"/>
  <c r="M124"/>
  <c r="L124"/>
  <c r="K124"/>
  <c r="J124"/>
  <c r="I124"/>
  <c r="H124"/>
  <c r="G124"/>
  <c r="F123"/>
  <c r="E123"/>
  <c r="H122"/>
  <c r="F122" s="1"/>
  <c r="E122" s="1"/>
  <c r="M121"/>
  <c r="L121"/>
  <c r="K121"/>
  <c r="J121"/>
  <c r="I121"/>
  <c r="G121"/>
  <c r="L119"/>
  <c r="G119"/>
  <c r="F119"/>
  <c r="F118"/>
  <c r="E118" s="1"/>
  <c r="L117"/>
  <c r="G117"/>
  <c r="G115" s="1"/>
  <c r="F115" s="1"/>
  <c r="F116"/>
  <c r="E116" s="1"/>
  <c r="M115"/>
  <c r="K115"/>
  <c r="J115"/>
  <c r="I115"/>
  <c r="H115"/>
  <c r="F114"/>
  <c r="E114" s="1"/>
  <c r="M113"/>
  <c r="L113"/>
  <c r="K113"/>
  <c r="J113"/>
  <c r="I113"/>
  <c r="H113"/>
  <c r="G113"/>
  <c r="F111"/>
  <c r="E111" s="1"/>
  <c r="F110"/>
  <c r="E110" s="1"/>
  <c r="M109"/>
  <c r="L109"/>
  <c r="K109"/>
  <c r="J109"/>
  <c r="I109"/>
  <c r="H109"/>
  <c r="F109" s="1"/>
  <c r="E109" s="1"/>
  <c r="G109"/>
  <c r="M108"/>
  <c r="M107" s="1"/>
  <c r="L108"/>
  <c r="L107" s="1"/>
  <c r="F108"/>
  <c r="E108" s="1"/>
  <c r="K107"/>
  <c r="J107"/>
  <c r="I107"/>
  <c r="H107"/>
  <c r="F107" s="1"/>
  <c r="E107" s="1"/>
  <c r="G107"/>
  <c r="G106"/>
  <c r="F105"/>
  <c r="E105"/>
  <c r="M104"/>
  <c r="L104"/>
  <c r="K104"/>
  <c r="J104"/>
  <c r="E104" s="1"/>
  <c r="I104"/>
  <c r="H104"/>
  <c r="F103"/>
  <c r="E103"/>
  <c r="F102"/>
  <c r="E102" s="1"/>
  <c r="F101"/>
  <c r="E101"/>
  <c r="M100"/>
  <c r="L100"/>
  <c r="K100"/>
  <c r="J100"/>
  <c r="I100"/>
  <c r="H100"/>
  <c r="G100"/>
  <c r="F99"/>
  <c r="E99" s="1"/>
  <c r="H98"/>
  <c r="M97"/>
  <c r="M93"/>
  <c r="L97"/>
  <c r="K97"/>
  <c r="J97"/>
  <c r="I97"/>
  <c r="G97"/>
  <c r="F96"/>
  <c r="E96" s="1"/>
  <c r="F95"/>
  <c r="E95" s="1"/>
  <c r="M94"/>
  <c r="L94"/>
  <c r="L93" s="1"/>
  <c r="K94"/>
  <c r="K93" s="1"/>
  <c r="K79" s="1"/>
  <c r="J94"/>
  <c r="I94"/>
  <c r="I93"/>
  <c r="H94"/>
  <c r="G94"/>
  <c r="F92"/>
  <c r="E92"/>
  <c r="F91"/>
  <c r="E91" s="1"/>
  <c r="F90"/>
  <c r="E90"/>
  <c r="F89"/>
  <c r="E89" s="1"/>
  <c r="F88"/>
  <c r="E88"/>
  <c r="M87"/>
  <c r="L87"/>
  <c r="K87"/>
  <c r="J87"/>
  <c r="I87"/>
  <c r="F87" s="1"/>
  <c r="H87"/>
  <c r="G87"/>
  <c r="F86"/>
  <c r="E86" s="1"/>
  <c r="G85"/>
  <c r="F85" s="1"/>
  <c r="F84"/>
  <c r="E84" s="1"/>
  <c r="G83"/>
  <c r="M41" i="94" s="1"/>
  <c r="F83" i="108"/>
  <c r="L82"/>
  <c r="K82"/>
  <c r="J82"/>
  <c r="I82"/>
  <c r="H82"/>
  <c r="F81"/>
  <c r="E81" s="1"/>
  <c r="M80"/>
  <c r="L80"/>
  <c r="K80"/>
  <c r="J80"/>
  <c r="I80"/>
  <c r="H80"/>
  <c r="G80"/>
  <c r="F78"/>
  <c r="E78" s="1"/>
  <c r="F77"/>
  <c r="E77" s="1"/>
  <c r="F76"/>
  <c r="E76" s="1"/>
  <c r="M75"/>
  <c r="L75"/>
  <c r="K75"/>
  <c r="J75"/>
  <c r="I75"/>
  <c r="H75"/>
  <c r="G75"/>
  <c r="M74"/>
  <c r="M73" s="1"/>
  <c r="L74"/>
  <c r="E74" s="1"/>
  <c r="L73"/>
  <c r="F74"/>
  <c r="K73"/>
  <c r="J73"/>
  <c r="I73"/>
  <c r="H73"/>
  <c r="G73"/>
  <c r="G72"/>
  <c r="L71"/>
  <c r="L68"/>
  <c r="F71"/>
  <c r="I70"/>
  <c r="M144" i="94" s="1"/>
  <c r="F69" i="108"/>
  <c r="E69"/>
  <c r="M68"/>
  <c r="K68"/>
  <c r="J68"/>
  <c r="H68"/>
  <c r="F67"/>
  <c r="E67"/>
  <c r="F66"/>
  <c r="E66"/>
  <c r="F65"/>
  <c r="E65"/>
  <c r="M64"/>
  <c r="L64"/>
  <c r="K64"/>
  <c r="J64"/>
  <c r="J52" s="1"/>
  <c r="I64"/>
  <c r="H64"/>
  <c r="G64"/>
  <c r="F63"/>
  <c r="E63" s="1"/>
  <c r="F62"/>
  <c r="E62"/>
  <c r="F61"/>
  <c r="E61" s="1"/>
  <c r="M60"/>
  <c r="L60"/>
  <c r="K60"/>
  <c r="J60"/>
  <c r="I60"/>
  <c r="H60"/>
  <c r="G60"/>
  <c r="F59"/>
  <c r="E59"/>
  <c r="F58"/>
  <c r="E58" s="1"/>
  <c r="F57"/>
  <c r="E57"/>
  <c r="F56"/>
  <c r="E56" s="1"/>
  <c r="F55"/>
  <c r="E55"/>
  <c r="F54"/>
  <c r="E54" s="1"/>
  <c r="M53"/>
  <c r="M52"/>
  <c r="L53"/>
  <c r="K53"/>
  <c r="J53"/>
  <c r="I53"/>
  <c r="H53"/>
  <c r="G53"/>
  <c r="F51"/>
  <c r="E51"/>
  <c r="F50"/>
  <c r="E50" s="1"/>
  <c r="M49"/>
  <c r="L49"/>
  <c r="K49"/>
  <c r="J49"/>
  <c r="I49"/>
  <c r="H49"/>
  <c r="G49"/>
  <c r="L48"/>
  <c r="G48"/>
  <c r="F48"/>
  <c r="G47"/>
  <c r="L46"/>
  <c r="G46"/>
  <c r="F46" s="1"/>
  <c r="F45"/>
  <c r="E45" s="1"/>
  <c r="M44"/>
  <c r="K44"/>
  <c r="J44"/>
  <c r="I44"/>
  <c r="H44"/>
  <c r="F43"/>
  <c r="E43" s="1"/>
  <c r="M42"/>
  <c r="L42"/>
  <c r="K42"/>
  <c r="J42"/>
  <c r="I42"/>
  <c r="H42"/>
  <c r="G42"/>
  <c r="F40"/>
  <c r="E40"/>
  <c r="F39"/>
  <c r="E39" s="1"/>
  <c r="G38"/>
  <c r="M37"/>
  <c r="L37"/>
  <c r="K37"/>
  <c r="J37"/>
  <c r="I37"/>
  <c r="H37"/>
  <c r="M36"/>
  <c r="L36"/>
  <c r="F36"/>
  <c r="K35"/>
  <c r="J35"/>
  <c r="I35"/>
  <c r="H35"/>
  <c r="G35"/>
  <c r="G34"/>
  <c r="G33"/>
  <c r="F33" s="1"/>
  <c r="F32"/>
  <c r="E32" s="1"/>
  <c r="M31"/>
  <c r="K31"/>
  <c r="J31"/>
  <c r="I31"/>
  <c r="H31"/>
  <c r="F30"/>
  <c r="E30"/>
  <c r="H29"/>
  <c r="M28"/>
  <c r="L28"/>
  <c r="K28"/>
  <c r="J28"/>
  <c r="I28"/>
  <c r="G28"/>
  <c r="F27"/>
  <c r="E27" s="1"/>
  <c r="F26"/>
  <c r="E26" s="1"/>
  <c r="M25"/>
  <c r="L25"/>
  <c r="K25"/>
  <c r="J25"/>
  <c r="I25"/>
  <c r="H25"/>
  <c r="G25"/>
  <c r="F24"/>
  <c r="E24" s="1"/>
  <c r="F23"/>
  <c r="E23" s="1"/>
  <c r="M22"/>
  <c r="L22"/>
  <c r="K22"/>
  <c r="J22"/>
  <c r="I22"/>
  <c r="H22"/>
  <c r="G22"/>
  <c r="F22" s="1"/>
  <c r="F21"/>
  <c r="E21" s="1"/>
  <c r="F20"/>
  <c r="E20"/>
  <c r="F19"/>
  <c r="E19" s="1"/>
  <c r="H18"/>
  <c r="H17" s="1"/>
  <c r="F18"/>
  <c r="E18" s="1"/>
  <c r="M17"/>
  <c r="L17"/>
  <c r="K17"/>
  <c r="J17"/>
  <c r="I17"/>
  <c r="G17"/>
  <c r="F15"/>
  <c r="E15" s="1"/>
  <c r="F14"/>
  <c r="E14" s="1"/>
  <c r="F13"/>
  <c r="E13" s="1"/>
  <c r="F12"/>
  <c r="E12" s="1"/>
  <c r="F11"/>
  <c r="E11" s="1"/>
  <c r="M10"/>
  <c r="L10"/>
  <c r="K10"/>
  <c r="J10"/>
  <c r="I10"/>
  <c r="H10"/>
  <c r="F10" s="1"/>
  <c r="G10"/>
  <c r="L9"/>
  <c r="G9"/>
  <c r="M8"/>
  <c r="K8"/>
  <c r="J8"/>
  <c r="I8"/>
  <c r="H8"/>
  <c r="F7"/>
  <c r="E7"/>
  <c r="M6"/>
  <c r="L6"/>
  <c r="K6"/>
  <c r="J6"/>
  <c r="I6"/>
  <c r="H6"/>
  <c r="G6"/>
  <c r="K108" i="94"/>
  <c r="K104"/>
  <c r="K254"/>
  <c r="J48"/>
  <c r="G109" i="109"/>
  <c r="F109" s="1"/>
  <c r="G108"/>
  <c r="F108" s="1"/>
  <c r="E108" s="1"/>
  <c r="U107"/>
  <c r="T107"/>
  <c r="S107"/>
  <c r="R107"/>
  <c r="Q107"/>
  <c r="P107"/>
  <c r="O107"/>
  <c r="N107"/>
  <c r="M107"/>
  <c r="L107"/>
  <c r="K107"/>
  <c r="J107"/>
  <c r="I107"/>
  <c r="H107"/>
  <c r="G106"/>
  <c r="F106" s="1"/>
  <c r="E106" s="1"/>
  <c r="G105"/>
  <c r="F105" s="1"/>
  <c r="E105" s="1"/>
  <c r="G104"/>
  <c r="G103"/>
  <c r="U102"/>
  <c r="T102"/>
  <c r="S102"/>
  <c r="S96" s="1"/>
  <c r="S79" s="1"/>
  <c r="R102"/>
  <c r="Q102"/>
  <c r="P102"/>
  <c r="O102"/>
  <c r="N102"/>
  <c r="N96" s="1"/>
  <c r="M102"/>
  <c r="L102"/>
  <c r="K102"/>
  <c r="K96" s="1"/>
  <c r="J102"/>
  <c r="I102"/>
  <c r="H102"/>
  <c r="G101"/>
  <c r="F101" s="1"/>
  <c r="G100"/>
  <c r="F100" s="1"/>
  <c r="E100" s="1"/>
  <c r="D100"/>
  <c r="U99"/>
  <c r="U96" s="1"/>
  <c r="U79" s="1"/>
  <c r="T99"/>
  <c r="S99"/>
  <c r="R99"/>
  <c r="R96" s="1"/>
  <c r="R79" s="1"/>
  <c r="Q99"/>
  <c r="Q96" s="1"/>
  <c r="P99"/>
  <c r="O99"/>
  <c r="N99"/>
  <c r="M99"/>
  <c r="M96"/>
  <c r="L99"/>
  <c r="L96" s="1"/>
  <c r="K99"/>
  <c r="J99"/>
  <c r="I99"/>
  <c r="I96" s="1"/>
  <c r="H99"/>
  <c r="G98"/>
  <c r="D98"/>
  <c r="U97"/>
  <c r="T97"/>
  <c r="J97"/>
  <c r="H97"/>
  <c r="H96" s="1"/>
  <c r="G95"/>
  <c r="F95"/>
  <c r="E95" s="1"/>
  <c r="G94"/>
  <c r="U93"/>
  <c r="T93"/>
  <c r="J93"/>
  <c r="H93"/>
  <c r="F92"/>
  <c r="E92"/>
  <c r="K156" i="94" s="1"/>
  <c r="U91" i="109"/>
  <c r="T91"/>
  <c r="J91"/>
  <c r="H91"/>
  <c r="G90"/>
  <c r="F90"/>
  <c r="E90" s="1"/>
  <c r="G89"/>
  <c r="G88"/>
  <c r="U87"/>
  <c r="T87"/>
  <c r="S87"/>
  <c r="R87"/>
  <c r="Q87"/>
  <c r="P87"/>
  <c r="O87"/>
  <c r="N87"/>
  <c r="M87"/>
  <c r="L87"/>
  <c r="K87"/>
  <c r="J87"/>
  <c r="I87"/>
  <c r="I79" s="1"/>
  <c r="H87"/>
  <c r="G86"/>
  <c r="F86" s="1"/>
  <c r="G85"/>
  <c r="F85" s="1"/>
  <c r="E85"/>
  <c r="W85" s="1"/>
  <c r="G84"/>
  <c r="F84" s="1"/>
  <c r="E84" s="1"/>
  <c r="G82"/>
  <c r="F82"/>
  <c r="E82" s="1"/>
  <c r="U81"/>
  <c r="T81"/>
  <c r="S81"/>
  <c r="R81"/>
  <c r="Q81"/>
  <c r="P81"/>
  <c r="O81"/>
  <c r="N81"/>
  <c r="M81"/>
  <c r="L81"/>
  <c r="K81"/>
  <c r="J81"/>
  <c r="I81"/>
  <c r="H81"/>
  <c r="G80"/>
  <c r="F80" s="1"/>
  <c r="E80" s="1"/>
  <c r="K248" i="94"/>
  <c r="K249" s="1"/>
  <c r="J233"/>
  <c r="K233" s="1"/>
  <c r="K257"/>
  <c r="E257" s="1"/>
  <c r="F181"/>
  <c r="D181"/>
  <c r="D182"/>
  <c r="G182"/>
  <c r="G181" s="1"/>
  <c r="G218"/>
  <c r="G168"/>
  <c r="G164" s="1"/>
  <c r="G162" s="1"/>
  <c r="G104"/>
  <c r="G72" i="109"/>
  <c r="F72" s="1"/>
  <c r="E72"/>
  <c r="H71"/>
  <c r="G71" s="1"/>
  <c r="F71" s="1"/>
  <c r="E71" s="1"/>
  <c r="G70"/>
  <c r="F70" s="1"/>
  <c r="E70" s="1"/>
  <c r="U69"/>
  <c r="T69"/>
  <c r="S69"/>
  <c r="R69"/>
  <c r="Q69"/>
  <c r="P69"/>
  <c r="O69"/>
  <c r="N69"/>
  <c r="M69"/>
  <c r="L69"/>
  <c r="K69"/>
  <c r="J69"/>
  <c r="I69"/>
  <c r="N68"/>
  <c r="G68"/>
  <c r="F68" s="1"/>
  <c r="E68" s="1"/>
  <c r="N67"/>
  <c r="G67"/>
  <c r="F67" s="1"/>
  <c r="E67"/>
  <c r="U66"/>
  <c r="T66"/>
  <c r="S66"/>
  <c r="R66"/>
  <c r="Q66"/>
  <c r="P66"/>
  <c r="O66"/>
  <c r="M66"/>
  <c r="L66"/>
  <c r="K66"/>
  <c r="J66"/>
  <c r="I66"/>
  <c r="H66"/>
  <c r="D66"/>
  <c r="G65"/>
  <c r="F65" s="1"/>
  <c r="E65"/>
  <c r="G64"/>
  <c r="F64" s="1"/>
  <c r="E64" s="1"/>
  <c r="G63"/>
  <c r="F63" s="1"/>
  <c r="E63" s="1"/>
  <c r="K137" i="94" s="1"/>
  <c r="E137" s="1"/>
  <c r="G62" i="109"/>
  <c r="F62"/>
  <c r="E62" s="1"/>
  <c r="O61"/>
  <c r="O58" s="1"/>
  <c r="G61"/>
  <c r="F61" s="1"/>
  <c r="I60"/>
  <c r="G60" s="1"/>
  <c r="F60" s="1"/>
  <c r="E60" s="1"/>
  <c r="I59"/>
  <c r="U58"/>
  <c r="T58"/>
  <c r="S58"/>
  <c r="R58"/>
  <c r="Q58"/>
  <c r="P58"/>
  <c r="N58"/>
  <c r="M58"/>
  <c r="L58"/>
  <c r="K58"/>
  <c r="J58"/>
  <c r="H58"/>
  <c r="G57"/>
  <c r="F57"/>
  <c r="E57" s="1"/>
  <c r="G56"/>
  <c r="F56" s="1"/>
  <c r="E56"/>
  <c r="G55"/>
  <c r="F55"/>
  <c r="E55" s="1"/>
  <c r="U54"/>
  <c r="T54"/>
  <c r="T48" s="1"/>
  <c r="S54"/>
  <c r="R54"/>
  <c r="Q54"/>
  <c r="Q48"/>
  <c r="P54"/>
  <c r="O54"/>
  <c r="N54"/>
  <c r="M54"/>
  <c r="L54"/>
  <c r="K54"/>
  <c r="J54"/>
  <c r="J48" s="1"/>
  <c r="I54"/>
  <c r="H54"/>
  <c r="G53"/>
  <c r="F53"/>
  <c r="E53" s="1"/>
  <c r="G52"/>
  <c r="F52" s="1"/>
  <c r="E52" s="1"/>
  <c r="G51"/>
  <c r="F51"/>
  <c r="E51" s="1"/>
  <c r="G50"/>
  <c r="F50" s="1"/>
  <c r="E50" s="1"/>
  <c r="U49"/>
  <c r="U48" s="1"/>
  <c r="T49"/>
  <c r="S49"/>
  <c r="S48"/>
  <c r="R49"/>
  <c r="Q49"/>
  <c r="P49"/>
  <c r="P48"/>
  <c r="O49"/>
  <c r="O48" s="1"/>
  <c r="N49"/>
  <c r="M49"/>
  <c r="L49"/>
  <c r="L48" s="1"/>
  <c r="K49"/>
  <c r="K48" s="1"/>
  <c r="J49"/>
  <c r="I49"/>
  <c r="H49"/>
  <c r="G47"/>
  <c r="F47" s="1"/>
  <c r="E47" s="1"/>
  <c r="G46"/>
  <c r="F46" s="1"/>
  <c r="E46" s="1"/>
  <c r="W46" s="1"/>
  <c r="G45"/>
  <c r="F45"/>
  <c r="E45" s="1"/>
  <c r="U44"/>
  <c r="G44"/>
  <c r="F44" s="1"/>
  <c r="E44" s="1"/>
  <c r="U43"/>
  <c r="G43"/>
  <c r="F43" s="1"/>
  <c r="T42"/>
  <c r="S42"/>
  <c r="R42"/>
  <c r="Q42"/>
  <c r="P42"/>
  <c r="O42"/>
  <c r="N42"/>
  <c r="M42"/>
  <c r="L42"/>
  <c r="K42"/>
  <c r="J42"/>
  <c r="I42"/>
  <c r="H42"/>
  <c r="D42"/>
  <c r="G41"/>
  <c r="F41" s="1"/>
  <c r="E41" s="1"/>
  <c r="G40"/>
  <c r="F40" s="1"/>
  <c r="E40" s="1"/>
  <c r="U39"/>
  <c r="T39"/>
  <c r="T38"/>
  <c r="S39"/>
  <c r="S38"/>
  <c r="R39"/>
  <c r="Q39"/>
  <c r="P39"/>
  <c r="P38"/>
  <c r="P36" s="1"/>
  <c r="O39"/>
  <c r="O38"/>
  <c r="N39"/>
  <c r="M39"/>
  <c r="L39"/>
  <c r="L38"/>
  <c r="K39"/>
  <c r="J39"/>
  <c r="I39"/>
  <c r="H39"/>
  <c r="D39"/>
  <c r="T37"/>
  <c r="E37" s="1"/>
  <c r="O37"/>
  <c r="G37"/>
  <c r="F37"/>
  <c r="D113" i="94"/>
  <c r="D114"/>
  <c r="F229"/>
  <c r="D229"/>
  <c r="F226"/>
  <c r="D226" s="1"/>
  <c r="D219"/>
  <c r="F233"/>
  <c r="D233" s="1"/>
  <c r="F232"/>
  <c r="D232" s="1"/>
  <c r="E22" i="105"/>
  <c r="F48" i="94"/>
  <c r="G48"/>
  <c r="J40" i="111"/>
  <c r="J39"/>
  <c r="M39"/>
  <c r="J38"/>
  <c r="M38" s="1"/>
  <c r="AB37"/>
  <c r="AA37"/>
  <c r="Z37"/>
  <c r="Y37"/>
  <c r="X37"/>
  <c r="X31"/>
  <c r="W37"/>
  <c r="V37"/>
  <c r="U37"/>
  <c r="T37"/>
  <c r="T31" s="1"/>
  <c r="S37"/>
  <c r="R37"/>
  <c r="P37"/>
  <c r="O37"/>
  <c r="L37"/>
  <c r="L31" s="1"/>
  <c r="K37"/>
  <c r="I37"/>
  <c r="H37"/>
  <c r="E37"/>
  <c r="J36"/>
  <c r="G36"/>
  <c r="E36"/>
  <c r="O36" s="1"/>
  <c r="Y36"/>
  <c r="J35"/>
  <c r="G35" s="1"/>
  <c r="E35"/>
  <c r="J34"/>
  <c r="G34"/>
  <c r="E34"/>
  <c r="AB33"/>
  <c r="AA33"/>
  <c r="Z33"/>
  <c r="X33"/>
  <c r="W33"/>
  <c r="V33"/>
  <c r="U33"/>
  <c r="U31" s="1"/>
  <c r="T33"/>
  <c r="S33"/>
  <c r="R33"/>
  <c r="R31" s="1"/>
  <c r="Q33"/>
  <c r="P33"/>
  <c r="M33"/>
  <c r="L33"/>
  <c r="K33"/>
  <c r="I33"/>
  <c r="H33"/>
  <c r="N32"/>
  <c r="J32"/>
  <c r="G32" s="1"/>
  <c r="N30"/>
  <c r="N29" s="1"/>
  <c r="J30"/>
  <c r="E30"/>
  <c r="Y29"/>
  <c r="X29"/>
  <c r="X21" s="1"/>
  <c r="W29"/>
  <c r="V29"/>
  <c r="U29"/>
  <c r="T29"/>
  <c r="T21" s="1"/>
  <c r="T9" s="1"/>
  <c r="S29"/>
  <c r="R29"/>
  <c r="Q29"/>
  <c r="P29"/>
  <c r="P21" s="1"/>
  <c r="P9" s="1"/>
  <c r="O29"/>
  <c r="M29"/>
  <c r="L29"/>
  <c r="K29"/>
  <c r="J29" s="1"/>
  <c r="I29"/>
  <c r="J28"/>
  <c r="E28"/>
  <c r="K27"/>
  <c r="E27"/>
  <c r="J26"/>
  <c r="E26"/>
  <c r="Y25"/>
  <c r="X25"/>
  <c r="W25"/>
  <c r="V25"/>
  <c r="U25"/>
  <c r="T25"/>
  <c r="S25"/>
  <c r="R25"/>
  <c r="P25"/>
  <c r="O25"/>
  <c r="L25"/>
  <c r="I25"/>
  <c r="H25"/>
  <c r="J24"/>
  <c r="G24" s="1"/>
  <c r="E24"/>
  <c r="E23" s="1"/>
  <c r="AB23"/>
  <c r="AB21" s="1"/>
  <c r="AA23"/>
  <c r="AA21"/>
  <c r="Z23"/>
  <c r="Z21"/>
  <c r="X23"/>
  <c r="W23"/>
  <c r="V23"/>
  <c r="U23"/>
  <c r="U21" s="1"/>
  <c r="T23"/>
  <c r="S23"/>
  <c r="S21" s="1"/>
  <c r="R23"/>
  <c r="Q23"/>
  <c r="P23"/>
  <c r="M23"/>
  <c r="L23"/>
  <c r="L21" s="1"/>
  <c r="K23"/>
  <c r="I23"/>
  <c r="H23"/>
  <c r="N22"/>
  <c r="F22" s="1"/>
  <c r="AD22" s="1"/>
  <c r="J22"/>
  <c r="G22" s="1"/>
  <c r="J20"/>
  <c r="V19"/>
  <c r="U19"/>
  <c r="T19"/>
  <c r="S19"/>
  <c r="R19"/>
  <c r="P19"/>
  <c r="O19"/>
  <c r="L19"/>
  <c r="K19"/>
  <c r="I19"/>
  <c r="H19"/>
  <c r="E19"/>
  <c r="J18"/>
  <c r="J17"/>
  <c r="E17"/>
  <c r="K16"/>
  <c r="K15"/>
  <c r="AB15"/>
  <c r="AA15"/>
  <c r="Z15"/>
  <c r="Y15"/>
  <c r="X15"/>
  <c r="W15"/>
  <c r="V15"/>
  <c r="U15"/>
  <c r="T15"/>
  <c r="S15"/>
  <c r="R15"/>
  <c r="R10" s="1"/>
  <c r="P15"/>
  <c r="O15"/>
  <c r="L15"/>
  <c r="I15"/>
  <c r="H15"/>
  <c r="AD14"/>
  <c r="AD13"/>
  <c r="AB12"/>
  <c r="AB10" s="1"/>
  <c r="AB9" s="1"/>
  <c r="AA12"/>
  <c r="Z12"/>
  <c r="Z10"/>
  <c r="Y12"/>
  <c r="X12"/>
  <c r="X10"/>
  <c r="W12"/>
  <c r="V12"/>
  <c r="V10" s="1"/>
  <c r="U12"/>
  <c r="T12"/>
  <c r="T10"/>
  <c r="S12"/>
  <c r="S10" s="1"/>
  <c r="S9" s="1"/>
  <c r="R12"/>
  <c r="Q12"/>
  <c r="P12"/>
  <c r="P10" s="1"/>
  <c r="O12"/>
  <c r="N12"/>
  <c r="M12"/>
  <c r="L12"/>
  <c r="K12"/>
  <c r="I12"/>
  <c r="H12"/>
  <c r="F12"/>
  <c r="E12"/>
  <c r="N11"/>
  <c r="J11"/>
  <c r="G11" s="1"/>
  <c r="S27" i="109"/>
  <c r="Y27"/>
  <c r="X27"/>
  <c r="W27"/>
  <c r="V27"/>
  <c r="U27"/>
  <c r="T27"/>
  <c r="R27"/>
  <c r="P27"/>
  <c r="O27"/>
  <c r="M27"/>
  <c r="I27"/>
  <c r="H27"/>
  <c r="E27"/>
  <c r="J26"/>
  <c r="G26"/>
  <c r="E26"/>
  <c r="K153" i="94"/>
  <c r="Q25" i="109"/>
  <c r="N25"/>
  <c r="K151" i="94" s="1"/>
  <c r="J25" i="109"/>
  <c r="G25"/>
  <c r="E25"/>
  <c r="N24"/>
  <c r="J24"/>
  <c r="I24"/>
  <c r="G24" s="1"/>
  <c r="F24" s="1"/>
  <c r="E24"/>
  <c r="N23"/>
  <c r="J23"/>
  <c r="G23" s="1"/>
  <c r="I23"/>
  <c r="E23"/>
  <c r="J22"/>
  <c r="AB21"/>
  <c r="AB11" s="1"/>
  <c r="AB10" s="1"/>
  <c r="AA21"/>
  <c r="AA11"/>
  <c r="AA10" s="1"/>
  <c r="Z21"/>
  <c r="Z11" s="1"/>
  <c r="Z10" s="1"/>
  <c r="X21"/>
  <c r="W21"/>
  <c r="V21"/>
  <c r="U21"/>
  <c r="T21"/>
  <c r="S21"/>
  <c r="R21"/>
  <c r="P21"/>
  <c r="O21"/>
  <c r="L21"/>
  <c r="K21"/>
  <c r="H21"/>
  <c r="H11" s="1"/>
  <c r="H10" s="1"/>
  <c r="J20"/>
  <c r="E20"/>
  <c r="J19"/>
  <c r="G19"/>
  <c r="E18"/>
  <c r="Y17"/>
  <c r="X17"/>
  <c r="W17"/>
  <c r="V17"/>
  <c r="U17"/>
  <c r="T17"/>
  <c r="S17"/>
  <c r="R17"/>
  <c r="P17"/>
  <c r="O17"/>
  <c r="K17"/>
  <c r="I17"/>
  <c r="H17"/>
  <c r="AD16"/>
  <c r="AC16"/>
  <c r="S15"/>
  <c r="S13" s="1"/>
  <c r="J15"/>
  <c r="G15" s="1"/>
  <c r="E15"/>
  <c r="AD14"/>
  <c r="X13"/>
  <c r="W13"/>
  <c r="V13"/>
  <c r="U13"/>
  <c r="T13"/>
  <c r="R13"/>
  <c r="Q13"/>
  <c r="O13"/>
  <c r="M13"/>
  <c r="L13"/>
  <c r="K13"/>
  <c r="I13"/>
  <c r="H13"/>
  <c r="D13"/>
  <c r="N12"/>
  <c r="J12"/>
  <c r="G12" s="1"/>
  <c r="AC12" s="1"/>
  <c r="H57" i="105"/>
  <c r="P56"/>
  <c r="K56"/>
  <c r="G230" i="94" s="1"/>
  <c r="P55" i="105"/>
  <c r="O55"/>
  <c r="G227" i="94" s="1"/>
  <c r="E54" i="105"/>
  <c r="N53"/>
  <c r="M53"/>
  <c r="L53"/>
  <c r="J53"/>
  <c r="I53"/>
  <c r="G53"/>
  <c r="F53"/>
  <c r="P52"/>
  <c r="G235" i="94"/>
  <c r="K52" i="105"/>
  <c r="P51"/>
  <c r="F50"/>
  <c r="O49"/>
  <c r="N49"/>
  <c r="M49"/>
  <c r="L49"/>
  <c r="J49"/>
  <c r="I49"/>
  <c r="H49"/>
  <c r="G49"/>
  <c r="E48"/>
  <c r="E47"/>
  <c r="P46"/>
  <c r="O46"/>
  <c r="N46"/>
  <c r="M46"/>
  <c r="L46"/>
  <c r="L8" s="1"/>
  <c r="J46"/>
  <c r="I46"/>
  <c r="H46"/>
  <c r="G46"/>
  <c r="F46"/>
  <c r="P45"/>
  <c r="P44"/>
  <c r="H45"/>
  <c r="O44"/>
  <c r="N44"/>
  <c r="M44"/>
  <c r="L44"/>
  <c r="J44"/>
  <c r="I44"/>
  <c r="G44"/>
  <c r="F44"/>
  <c r="F43"/>
  <c r="F42"/>
  <c r="P42"/>
  <c r="O42"/>
  <c r="N42"/>
  <c r="M42"/>
  <c r="L42"/>
  <c r="K42"/>
  <c r="J42"/>
  <c r="I42"/>
  <c r="H42"/>
  <c r="G42"/>
  <c r="E41"/>
  <c r="E40"/>
  <c r="P40"/>
  <c r="O40"/>
  <c r="N40"/>
  <c r="M40"/>
  <c r="L40"/>
  <c r="J40"/>
  <c r="I40"/>
  <c r="H40"/>
  <c r="G40"/>
  <c r="F40"/>
  <c r="F39"/>
  <c r="E39"/>
  <c r="E38"/>
  <c r="P37"/>
  <c r="O37"/>
  <c r="N37"/>
  <c r="M37"/>
  <c r="L37"/>
  <c r="J37"/>
  <c r="I37"/>
  <c r="H37"/>
  <c r="G37"/>
  <c r="M36"/>
  <c r="M33" s="1"/>
  <c r="E35"/>
  <c r="E34"/>
  <c r="P33"/>
  <c r="O33"/>
  <c r="N33"/>
  <c r="L33"/>
  <c r="J33"/>
  <c r="I33"/>
  <c r="H33"/>
  <c r="G33"/>
  <c r="F33"/>
  <c r="P30"/>
  <c r="O30"/>
  <c r="N30"/>
  <c r="M30"/>
  <c r="L30"/>
  <c r="L26" s="1"/>
  <c r="K30"/>
  <c r="K26" s="1"/>
  <c r="J30"/>
  <c r="I30"/>
  <c r="H30"/>
  <c r="G30"/>
  <c r="F30"/>
  <c r="E29"/>
  <c r="I29"/>
  <c r="I28" s="1"/>
  <c r="I26" s="1"/>
  <c r="O28"/>
  <c r="O26" s="1"/>
  <c r="N28"/>
  <c r="N26" s="1"/>
  <c r="M28"/>
  <c r="J28"/>
  <c r="J26"/>
  <c r="H28"/>
  <c r="G28"/>
  <c r="F28"/>
  <c r="F26" s="1"/>
  <c r="D28"/>
  <c r="J25"/>
  <c r="J24"/>
  <c r="P24"/>
  <c r="O24"/>
  <c r="N24"/>
  <c r="M24"/>
  <c r="I24"/>
  <c r="H24"/>
  <c r="H11" s="1"/>
  <c r="G24"/>
  <c r="F24"/>
  <c r="O21"/>
  <c r="N21"/>
  <c r="M21"/>
  <c r="L21"/>
  <c r="J21"/>
  <c r="I21"/>
  <c r="H21"/>
  <c r="G21"/>
  <c r="F21"/>
  <c r="E20"/>
  <c r="E19"/>
  <c r="E18"/>
  <c r="E17"/>
  <c r="P16"/>
  <c r="O16"/>
  <c r="N16"/>
  <c r="M16"/>
  <c r="L16"/>
  <c r="L11" s="1"/>
  <c r="J16"/>
  <c r="I16"/>
  <c r="H16"/>
  <c r="G16"/>
  <c r="F16"/>
  <c r="D16"/>
  <c r="D11" s="1"/>
  <c r="E15"/>
  <c r="E14"/>
  <c r="E13"/>
  <c r="P12"/>
  <c r="O12"/>
  <c r="N12"/>
  <c r="N11" s="1"/>
  <c r="M12"/>
  <c r="L12"/>
  <c r="J12"/>
  <c r="I12"/>
  <c r="H12"/>
  <c r="G12"/>
  <c r="F12"/>
  <c r="E10"/>
  <c r="E9" s="1"/>
  <c r="R9"/>
  <c r="P9"/>
  <c r="O9"/>
  <c r="N9"/>
  <c r="M9"/>
  <c r="L9"/>
  <c r="J9"/>
  <c r="I9"/>
  <c r="H9"/>
  <c r="G9"/>
  <c r="F9"/>
  <c r="F37"/>
  <c r="P55" i="94"/>
  <c r="L55"/>
  <c r="P13" i="103"/>
  <c r="Q17"/>
  <c r="R17"/>
  <c r="P52" i="94"/>
  <c r="N52"/>
  <c r="L52"/>
  <c r="T14" i="103"/>
  <c r="J52" i="94"/>
  <c r="H52"/>
  <c r="D52" s="1"/>
  <c r="F52"/>
  <c r="S76"/>
  <c r="S77" s="1"/>
  <c r="R76"/>
  <c r="Q76"/>
  <c r="P76"/>
  <c r="O76"/>
  <c r="O78" s="1"/>
  <c r="N76"/>
  <c r="M76"/>
  <c r="L76"/>
  <c r="K76"/>
  <c r="K78" s="1"/>
  <c r="I76"/>
  <c r="E76" s="1"/>
  <c r="J76"/>
  <c r="H76"/>
  <c r="T15" i="103"/>
  <c r="T16"/>
  <c r="T17"/>
  <c r="Q14"/>
  <c r="R14"/>
  <c r="Q15"/>
  <c r="R15" s="1"/>
  <c r="S15" s="1"/>
  <c r="Q16"/>
  <c r="R16"/>
  <c r="U15"/>
  <c r="U16"/>
  <c r="Y16"/>
  <c r="O44" i="94" s="1"/>
  <c r="U17" i="103"/>
  <c r="U14"/>
  <c r="Y14"/>
  <c r="K44" i="94" s="1"/>
  <c r="P12" i="103"/>
  <c r="E116" i="104"/>
  <c r="E115" s="1"/>
  <c r="E114" s="1"/>
  <c r="H115"/>
  <c r="G115"/>
  <c r="G114"/>
  <c r="F115"/>
  <c r="F114"/>
  <c r="E113"/>
  <c r="E112"/>
  <c r="E111" s="1"/>
  <c r="G112"/>
  <c r="G111" s="1"/>
  <c r="F112"/>
  <c r="F111"/>
  <c r="E110"/>
  <c r="E109" s="1"/>
  <c r="I109"/>
  <c r="H109"/>
  <c r="G109"/>
  <c r="F109"/>
  <c r="E108"/>
  <c r="E107"/>
  <c r="I107"/>
  <c r="H107"/>
  <c r="H106" s="1"/>
  <c r="G107"/>
  <c r="F107"/>
  <c r="E105"/>
  <c r="E104"/>
  <c r="E101" s="1"/>
  <c r="G104"/>
  <c r="F104"/>
  <c r="H102"/>
  <c r="G102"/>
  <c r="G101" s="1"/>
  <c r="F102"/>
  <c r="E102"/>
  <c r="J100"/>
  <c r="J11" s="1"/>
  <c r="I100"/>
  <c r="Q55" i="94" s="1"/>
  <c r="E99" i="104"/>
  <c r="E98" s="1"/>
  <c r="E97" s="1"/>
  <c r="K98"/>
  <c r="K97" s="1"/>
  <c r="J98"/>
  <c r="J97" s="1"/>
  <c r="I98"/>
  <c r="I97" s="1"/>
  <c r="H98"/>
  <c r="H97" s="1"/>
  <c r="G98"/>
  <c r="G97" s="1"/>
  <c r="F98"/>
  <c r="F97" s="1"/>
  <c r="E96"/>
  <c r="E95" s="1"/>
  <c r="E94" s="1"/>
  <c r="K95"/>
  <c r="J95"/>
  <c r="J94" s="1"/>
  <c r="I95"/>
  <c r="I94" s="1"/>
  <c r="H95"/>
  <c r="H94"/>
  <c r="G95"/>
  <c r="G94" s="1"/>
  <c r="F95"/>
  <c r="F94" s="1"/>
  <c r="K94"/>
  <c r="E93"/>
  <c r="E92" s="1"/>
  <c r="E91" s="1"/>
  <c r="K92"/>
  <c r="K91" s="1"/>
  <c r="J92"/>
  <c r="J91" s="1"/>
  <c r="I92"/>
  <c r="I91" s="1"/>
  <c r="H92"/>
  <c r="H91" s="1"/>
  <c r="G92"/>
  <c r="G91" s="1"/>
  <c r="F92"/>
  <c r="F91" s="1"/>
  <c r="E90"/>
  <c r="E89" s="1"/>
  <c r="K89"/>
  <c r="J89"/>
  <c r="I89"/>
  <c r="H89"/>
  <c r="G89"/>
  <c r="F89"/>
  <c r="K87"/>
  <c r="K86" s="1"/>
  <c r="J87"/>
  <c r="J86"/>
  <c r="I87"/>
  <c r="I86" s="1"/>
  <c r="H87"/>
  <c r="H86" s="1"/>
  <c r="G87"/>
  <c r="F87"/>
  <c r="F86" s="1"/>
  <c r="E87"/>
  <c r="K84"/>
  <c r="K83"/>
  <c r="J84"/>
  <c r="J83" s="1"/>
  <c r="I84"/>
  <c r="I83" s="1"/>
  <c r="H84"/>
  <c r="H83"/>
  <c r="G84"/>
  <c r="G83"/>
  <c r="F84"/>
  <c r="F83" s="1"/>
  <c r="E84"/>
  <c r="E83" s="1"/>
  <c r="E82"/>
  <c r="E81"/>
  <c r="K81"/>
  <c r="J81"/>
  <c r="I81"/>
  <c r="H81"/>
  <c r="G81"/>
  <c r="F81"/>
  <c r="F78" s="1"/>
  <c r="K79"/>
  <c r="J79"/>
  <c r="I79"/>
  <c r="H79"/>
  <c r="H78" s="1"/>
  <c r="G79"/>
  <c r="F79"/>
  <c r="E79"/>
  <c r="E78" s="1"/>
  <c r="E77"/>
  <c r="E76"/>
  <c r="K75"/>
  <c r="K74" s="1"/>
  <c r="J75"/>
  <c r="J74" s="1"/>
  <c r="I75"/>
  <c r="I74" s="1"/>
  <c r="H75"/>
  <c r="H74" s="1"/>
  <c r="G75"/>
  <c r="G74" s="1"/>
  <c r="F75"/>
  <c r="F74" s="1"/>
  <c r="E73"/>
  <c r="E72" s="1"/>
  <c r="E71" s="1"/>
  <c r="K72"/>
  <c r="K71"/>
  <c r="J72"/>
  <c r="J71"/>
  <c r="I72"/>
  <c r="I71" s="1"/>
  <c r="H72"/>
  <c r="H71" s="1"/>
  <c r="G72"/>
  <c r="G71"/>
  <c r="F72"/>
  <c r="F71"/>
  <c r="J70"/>
  <c r="I70" s="1"/>
  <c r="E69"/>
  <c r="E68"/>
  <c r="K68"/>
  <c r="J68"/>
  <c r="I68"/>
  <c r="H68"/>
  <c r="G68"/>
  <c r="F68"/>
  <c r="E67"/>
  <c r="E66"/>
  <c r="E65" s="1"/>
  <c r="K66"/>
  <c r="K65" s="1"/>
  <c r="J66"/>
  <c r="I66"/>
  <c r="I65" s="1"/>
  <c r="H66"/>
  <c r="G66"/>
  <c r="G65" s="1"/>
  <c r="F66"/>
  <c r="F65" s="1"/>
  <c r="E64"/>
  <c r="E62" s="1"/>
  <c r="E61" s="1"/>
  <c r="E63"/>
  <c r="K62"/>
  <c r="K61" s="1"/>
  <c r="J62"/>
  <c r="J61"/>
  <c r="I62"/>
  <c r="I61" s="1"/>
  <c r="H62"/>
  <c r="H61" s="1"/>
  <c r="G62"/>
  <c r="G61" s="1"/>
  <c r="F62"/>
  <c r="F61" s="1"/>
  <c r="E60"/>
  <c r="E59" s="1"/>
  <c r="K59"/>
  <c r="J59"/>
  <c r="I59"/>
  <c r="H59"/>
  <c r="G59"/>
  <c r="F59"/>
  <c r="E58"/>
  <c r="E57" s="1"/>
  <c r="K57"/>
  <c r="J57"/>
  <c r="I57"/>
  <c r="H57"/>
  <c r="G57"/>
  <c r="F57"/>
  <c r="I55"/>
  <c r="M55" i="94" s="1"/>
  <c r="E54" i="104"/>
  <c r="E53"/>
  <c r="E52" s="1"/>
  <c r="E51" s="1"/>
  <c r="K52"/>
  <c r="K51" s="1"/>
  <c r="J52"/>
  <c r="J51" s="1"/>
  <c r="I52"/>
  <c r="I51"/>
  <c r="H52"/>
  <c r="H51" s="1"/>
  <c r="G52"/>
  <c r="G51" s="1"/>
  <c r="F52"/>
  <c r="F51"/>
  <c r="E50"/>
  <c r="E49"/>
  <c r="K49"/>
  <c r="J49"/>
  <c r="I49"/>
  <c r="H49"/>
  <c r="G49"/>
  <c r="F49"/>
  <c r="E48"/>
  <c r="E47"/>
  <c r="E46" s="1"/>
  <c r="K47"/>
  <c r="J47"/>
  <c r="I47"/>
  <c r="I46" s="1"/>
  <c r="H47"/>
  <c r="H46"/>
  <c r="G47"/>
  <c r="G46" s="1"/>
  <c r="G40" s="1"/>
  <c r="F47"/>
  <c r="E45"/>
  <c r="E44" s="1"/>
  <c r="K44"/>
  <c r="J44"/>
  <c r="I44"/>
  <c r="H44"/>
  <c r="G44"/>
  <c r="F44"/>
  <c r="E43"/>
  <c r="E42" s="1"/>
  <c r="K42"/>
  <c r="J42"/>
  <c r="I42"/>
  <c r="H42"/>
  <c r="H41"/>
  <c r="G42"/>
  <c r="G41" s="1"/>
  <c r="F42"/>
  <c r="I40"/>
  <c r="K55" i="94"/>
  <c r="E39" i="104"/>
  <c r="E38" s="1"/>
  <c r="E37" s="1"/>
  <c r="K38"/>
  <c r="K37" s="1"/>
  <c r="J38"/>
  <c r="J37"/>
  <c r="I38"/>
  <c r="I37" s="1"/>
  <c r="H38"/>
  <c r="H37" s="1"/>
  <c r="G38"/>
  <c r="G37"/>
  <c r="F38"/>
  <c r="F37"/>
  <c r="E36"/>
  <c r="E35" s="1"/>
  <c r="K35"/>
  <c r="K32" s="1"/>
  <c r="J35"/>
  <c r="I35"/>
  <c r="H35"/>
  <c r="G35"/>
  <c r="F35"/>
  <c r="E34"/>
  <c r="E33" s="1"/>
  <c r="K33"/>
  <c r="J33"/>
  <c r="I33"/>
  <c r="H33"/>
  <c r="G33"/>
  <c r="F33"/>
  <c r="E31"/>
  <c r="E30" s="1"/>
  <c r="E29"/>
  <c r="K30"/>
  <c r="K29" s="1"/>
  <c r="J30"/>
  <c r="J29" s="1"/>
  <c r="I30"/>
  <c r="I29" s="1"/>
  <c r="H30"/>
  <c r="H29" s="1"/>
  <c r="G30"/>
  <c r="G29" s="1"/>
  <c r="F30"/>
  <c r="F29" s="1"/>
  <c r="E28"/>
  <c r="E27" s="1"/>
  <c r="E26" s="1"/>
  <c r="K27"/>
  <c r="K26"/>
  <c r="J27"/>
  <c r="J26" s="1"/>
  <c r="I27"/>
  <c r="I26"/>
  <c r="H27"/>
  <c r="H26"/>
  <c r="G27"/>
  <c r="G26" s="1"/>
  <c r="F27"/>
  <c r="F26" s="1"/>
  <c r="I25"/>
  <c r="E24"/>
  <c r="E23" s="1"/>
  <c r="E22" s="1"/>
  <c r="K23"/>
  <c r="K22" s="1"/>
  <c r="J23"/>
  <c r="J22" s="1"/>
  <c r="I23"/>
  <c r="I22" s="1"/>
  <c r="H23"/>
  <c r="H22"/>
  <c r="G23"/>
  <c r="G22" s="1"/>
  <c r="F23"/>
  <c r="F22" s="1"/>
  <c r="E21"/>
  <c r="E20"/>
  <c r="K20"/>
  <c r="J20"/>
  <c r="I20"/>
  <c r="H20"/>
  <c r="G20"/>
  <c r="F20"/>
  <c r="E19"/>
  <c r="E18"/>
  <c r="K18"/>
  <c r="J18"/>
  <c r="I18"/>
  <c r="H18"/>
  <c r="G18"/>
  <c r="F18"/>
  <c r="E17"/>
  <c r="E16"/>
  <c r="K16"/>
  <c r="J16"/>
  <c r="I16"/>
  <c r="H16"/>
  <c r="G16"/>
  <c r="F16"/>
  <c r="E15"/>
  <c r="E14" s="1"/>
  <c r="K14"/>
  <c r="J14"/>
  <c r="J13"/>
  <c r="I14"/>
  <c r="H14"/>
  <c r="H13" s="1"/>
  <c r="G14"/>
  <c r="F14"/>
  <c r="I12"/>
  <c r="K11"/>
  <c r="D11"/>
  <c r="C11"/>
  <c r="A4"/>
  <c r="K17" i="103"/>
  <c r="G17"/>
  <c r="D17"/>
  <c r="K16"/>
  <c r="G16"/>
  <c r="D16"/>
  <c r="K15"/>
  <c r="G15"/>
  <c r="D15"/>
  <c r="K14"/>
  <c r="G14"/>
  <c r="D14"/>
  <c r="K13"/>
  <c r="G13"/>
  <c r="D13"/>
  <c r="K12"/>
  <c r="G12"/>
  <c r="D12"/>
  <c r="M11"/>
  <c r="L11"/>
  <c r="I11"/>
  <c r="H11"/>
  <c r="F11"/>
  <c r="E11"/>
  <c r="D11" s="1"/>
  <c r="G76" i="94"/>
  <c r="G78" s="1"/>
  <c r="F76"/>
  <c r="D257"/>
  <c r="D254"/>
  <c r="Q19" i="96"/>
  <c r="I182" i="94"/>
  <c r="I181"/>
  <c r="M182"/>
  <c r="S52"/>
  <c r="S43"/>
  <c r="Q14" i="96" s="1"/>
  <c r="S264" i="94"/>
  <c r="Q264"/>
  <c r="O264"/>
  <c r="M264"/>
  <c r="K264"/>
  <c r="I264"/>
  <c r="G264"/>
  <c r="D264"/>
  <c r="S263"/>
  <c r="S261" s="1"/>
  <c r="Q263"/>
  <c r="O263"/>
  <c r="M263"/>
  <c r="K263"/>
  <c r="K261" s="1"/>
  <c r="I263"/>
  <c r="E263" s="1"/>
  <c r="G263"/>
  <c r="D263"/>
  <c r="D261"/>
  <c r="I256"/>
  <c r="I254"/>
  <c r="O248"/>
  <c r="I248"/>
  <c r="O232"/>
  <c r="O210" s="1"/>
  <c r="O202" s="1"/>
  <c r="M232"/>
  <c r="I232"/>
  <c r="O229"/>
  <c r="M229"/>
  <c r="Q226"/>
  <c r="O226"/>
  <c r="M226"/>
  <c r="D210"/>
  <c r="D208"/>
  <c r="D204"/>
  <c r="D202"/>
  <c r="F192"/>
  <c r="Q182"/>
  <c r="D176"/>
  <c r="S164"/>
  <c r="S162" s="1"/>
  <c r="D140"/>
  <c r="D128"/>
  <c r="D125"/>
  <c r="D102"/>
  <c r="D87"/>
  <c r="D79"/>
  <c r="D68"/>
  <c r="D30"/>
  <c r="D29"/>
  <c r="D9"/>
  <c r="Y9" i="76"/>
  <c r="AB9"/>
  <c r="AC9"/>
  <c r="AE9"/>
  <c r="D8" i="78"/>
  <c r="C11"/>
  <c r="C8"/>
  <c r="X10" i="76"/>
  <c r="X12"/>
  <c r="X13"/>
  <c r="X14"/>
  <c r="X16"/>
  <c r="X17"/>
  <c r="X20"/>
  <c r="X21"/>
  <c r="S33"/>
  <c r="Q33"/>
  <c r="O33"/>
  <c r="M33"/>
  <c r="K33"/>
  <c r="I33"/>
  <c r="G33"/>
  <c r="D33"/>
  <c r="S32"/>
  <c r="Q32"/>
  <c r="O32"/>
  <c r="M32"/>
  <c r="K32"/>
  <c r="I32"/>
  <c r="G32"/>
  <c r="D32"/>
  <c r="S31"/>
  <c r="Q31"/>
  <c r="O31"/>
  <c r="M31"/>
  <c r="K31"/>
  <c r="I31"/>
  <c r="D31"/>
  <c r="S30"/>
  <c r="Q30"/>
  <c r="O30"/>
  <c r="M30"/>
  <c r="K30"/>
  <c r="I30"/>
  <c r="G30"/>
  <c r="D30"/>
  <c r="S29"/>
  <c r="Q29"/>
  <c r="O29"/>
  <c r="M29"/>
  <c r="K29"/>
  <c r="I29"/>
  <c r="G29"/>
  <c r="D29"/>
  <c r="S28"/>
  <c r="Q28"/>
  <c r="O28"/>
  <c r="M28"/>
  <c r="K28"/>
  <c r="E28" s="1"/>
  <c r="I28"/>
  <c r="G28"/>
  <c r="D28"/>
  <c r="S27"/>
  <c r="Q27"/>
  <c r="O27"/>
  <c r="M27"/>
  <c r="K27"/>
  <c r="I27"/>
  <c r="G27"/>
  <c r="D27"/>
  <c r="R26"/>
  <c r="P26"/>
  <c r="N26"/>
  <c r="L26"/>
  <c r="J26"/>
  <c r="H26"/>
  <c r="G26"/>
  <c r="G25"/>
  <c r="F26"/>
  <c r="D25"/>
  <c r="E24"/>
  <c r="D24"/>
  <c r="E23"/>
  <c r="D23"/>
  <c r="S22"/>
  <c r="Q22"/>
  <c r="P22"/>
  <c r="O22"/>
  <c r="N22"/>
  <c r="M22"/>
  <c r="K22"/>
  <c r="J22"/>
  <c r="I22"/>
  <c r="H22"/>
  <c r="D22" s="1"/>
  <c r="G22"/>
  <c r="S21"/>
  <c r="S20" s="1"/>
  <c r="Q21"/>
  <c r="Q20" s="1"/>
  <c r="O21"/>
  <c r="O20" s="1"/>
  <c r="M21"/>
  <c r="K21"/>
  <c r="K20" s="1"/>
  <c r="I21"/>
  <c r="G21"/>
  <c r="G20"/>
  <c r="S19"/>
  <c r="R19"/>
  <c r="O19"/>
  <c r="N19"/>
  <c r="M19"/>
  <c r="L19"/>
  <c r="K19"/>
  <c r="J19"/>
  <c r="I19"/>
  <c r="H19"/>
  <c r="G19"/>
  <c r="F19"/>
  <c r="O18"/>
  <c r="O17" s="1"/>
  <c r="M18"/>
  <c r="K18"/>
  <c r="K17" s="1"/>
  <c r="I18"/>
  <c r="I17" s="1"/>
  <c r="D18"/>
  <c r="S17"/>
  <c r="R17"/>
  <c r="Q17"/>
  <c r="P17"/>
  <c r="D17" s="1"/>
  <c r="N17"/>
  <c r="J17"/>
  <c r="H17"/>
  <c r="G17"/>
  <c r="F17"/>
  <c r="S16"/>
  <c r="Q16"/>
  <c r="O16"/>
  <c r="M16"/>
  <c r="K16"/>
  <c r="I16"/>
  <c r="G16"/>
  <c r="D16"/>
  <c r="S15"/>
  <c r="Q15"/>
  <c r="O15"/>
  <c r="M15"/>
  <c r="K15"/>
  <c r="I15"/>
  <c r="G15"/>
  <c r="D15"/>
  <c r="S14"/>
  <c r="Q14"/>
  <c r="O14"/>
  <c r="L14"/>
  <c r="J14"/>
  <c r="I14"/>
  <c r="G14"/>
  <c r="G13" s="1"/>
  <c r="G12" s="1"/>
  <c r="R13"/>
  <c r="P13"/>
  <c r="N13"/>
  <c r="H13"/>
  <c r="F13"/>
  <c r="D12"/>
  <c r="S11"/>
  <c r="S10" s="1"/>
  <c r="Q11"/>
  <c r="Q10" s="1"/>
  <c r="O11"/>
  <c r="O10" s="1"/>
  <c r="M11"/>
  <c r="M10" s="1"/>
  <c r="K11"/>
  <c r="K10" s="1"/>
  <c r="I11"/>
  <c r="I10" s="1"/>
  <c r="G11"/>
  <c r="D11"/>
  <c r="D10"/>
  <c r="D9"/>
  <c r="F5"/>
  <c r="A3"/>
  <c r="I26"/>
  <c r="I25"/>
  <c r="M26"/>
  <c r="M25"/>
  <c r="O26"/>
  <c r="O25" s="1"/>
  <c r="S26"/>
  <c r="K26"/>
  <c r="Q26"/>
  <c r="Q25" s="1"/>
  <c r="X19"/>
  <c r="AG19"/>
  <c r="X22"/>
  <c r="AD22" s="1"/>
  <c r="AD9" s="1"/>
  <c r="X15"/>
  <c r="AG15"/>
  <c r="Z18"/>
  <c r="AG11"/>
  <c r="AG9"/>
  <c r="AH9" s="1"/>
  <c r="X11"/>
  <c r="AA11" s="1"/>
  <c r="AA9" s="1"/>
  <c r="S256" i="94"/>
  <c r="S210" s="1"/>
  <c r="S202" s="1"/>
  <c r="K19" i="96"/>
  <c r="O19"/>
  <c r="C20" s="1"/>
  <c r="J32" i="104"/>
  <c r="E11" i="78"/>
  <c r="G11" s="1"/>
  <c r="E10"/>
  <c r="G10"/>
  <c r="E9"/>
  <c r="E12"/>
  <c r="S17" i="103"/>
  <c r="V14"/>
  <c r="W14" s="1"/>
  <c r="X11" i="109"/>
  <c r="X10"/>
  <c r="J12" i="111"/>
  <c r="G12" s="1"/>
  <c r="M26"/>
  <c r="P31"/>
  <c r="I10"/>
  <c r="J16"/>
  <c r="G16"/>
  <c r="Q16" s="1"/>
  <c r="O24"/>
  <c r="M28"/>
  <c r="J21" i="109"/>
  <c r="M22"/>
  <c r="K135" i="94" s="1"/>
  <c r="E36" i="105"/>
  <c r="P29"/>
  <c r="P28" s="1"/>
  <c r="P26" s="1"/>
  <c r="E12"/>
  <c r="E25"/>
  <c r="E24" s="1"/>
  <c r="E28"/>
  <c r="E26" s="1"/>
  <c r="J13" i="109"/>
  <c r="Y25"/>
  <c r="K152" i="94" s="1"/>
  <c r="Q26" i="109"/>
  <c r="N26" s="1"/>
  <c r="J6" i="115"/>
  <c r="E12"/>
  <c r="F7"/>
  <c r="K136" i="108"/>
  <c r="J41"/>
  <c r="L8"/>
  <c r="E46"/>
  <c r="F17"/>
  <c r="F34"/>
  <c r="E34" s="1"/>
  <c r="G93"/>
  <c r="F42"/>
  <c r="E71"/>
  <c r="G10" i="76"/>
  <c r="F91" i="109"/>
  <c r="Z14" i="103"/>
  <c r="E17" i="109"/>
  <c r="I13" i="76"/>
  <c r="I12" s="1"/>
  <c r="K53" i="105"/>
  <c r="G81" i="109"/>
  <c r="G91"/>
  <c r="G49"/>
  <c r="F49" s="1"/>
  <c r="E49" s="1"/>
  <c r="G99"/>
  <c r="AC11" i="111"/>
  <c r="N36"/>
  <c r="H10"/>
  <c r="P45" i="116"/>
  <c r="P21"/>
  <c r="F74"/>
  <c r="E31"/>
  <c r="AJ74"/>
  <c r="E73"/>
  <c r="AJ73" s="1"/>
  <c r="F44"/>
  <c r="F19" s="1"/>
  <c r="AH19" s="1"/>
  <c r="E19"/>
  <c r="AJ44"/>
  <c r="AJ66"/>
  <c r="E25"/>
  <c r="F66"/>
  <c r="E26"/>
  <c r="AK67"/>
  <c r="AJ67"/>
  <c r="R22"/>
  <c r="R20" s="1"/>
  <c r="G32"/>
  <c r="E42"/>
  <c r="AJ60"/>
  <c r="M65"/>
  <c r="F72"/>
  <c r="AK72" s="1"/>
  <c r="F91"/>
  <c r="AK91" s="1"/>
  <c r="E30"/>
  <c r="S43"/>
  <c r="K46"/>
  <c r="K45" s="1"/>
  <c r="K38" s="1"/>
  <c r="K37" s="1"/>
  <c r="E58"/>
  <c r="AK60"/>
  <c r="E71"/>
  <c r="AJ72"/>
  <c r="J79"/>
  <c r="AJ91"/>
  <c r="I21"/>
  <c r="AH35"/>
  <c r="F47"/>
  <c r="E47" s="1"/>
  <c r="E89"/>
  <c r="I164" i="94" s="1"/>
  <c r="Y21" i="116"/>
  <c r="AK39"/>
  <c r="F61"/>
  <c r="AK61" s="1"/>
  <c r="AK78"/>
  <c r="Q21"/>
  <c r="Q20" s="1"/>
  <c r="P26"/>
  <c r="U40"/>
  <c r="E48"/>
  <c r="F48" s="1"/>
  <c r="AJ61"/>
  <c r="F90"/>
  <c r="AK90" s="1"/>
  <c r="F92"/>
  <c r="AJ71"/>
  <c r="F30"/>
  <c r="E91" i="109"/>
  <c r="G26" i="111"/>
  <c r="Q26" s="1"/>
  <c r="G22" i="109"/>
  <c r="M21"/>
  <c r="H69"/>
  <c r="G69" s="1"/>
  <c r="F69" s="1"/>
  <c r="E69" s="1"/>
  <c r="G107"/>
  <c r="F139" i="108"/>
  <c r="M151" i="94"/>
  <c r="G39" i="111"/>
  <c r="F142" i="108"/>
  <c r="M35"/>
  <c r="I38" i="109"/>
  <c r="E43" i="105"/>
  <c r="E42" s="1"/>
  <c r="L33" i="108"/>
  <c r="F47"/>
  <c r="F117"/>
  <c r="E117"/>
  <c r="F88" i="109"/>
  <c r="E83" i="108"/>
  <c r="F94"/>
  <c r="E94" s="1"/>
  <c r="J96" i="109"/>
  <c r="G37" i="108"/>
  <c r="M259" i="94"/>
  <c r="AC38" i="116"/>
  <c r="AC37" s="1"/>
  <c r="AC11" s="1"/>
  <c r="AC77"/>
  <c r="AC76" s="1"/>
  <c r="G22" i="117"/>
  <c r="F22"/>
  <c r="G30"/>
  <c r="F30"/>
  <c r="AF48" i="119"/>
  <c r="AG48" s="1"/>
  <c r="X48"/>
  <c r="AF19"/>
  <c r="AG19" s="1"/>
  <c r="X19"/>
  <c r="F20" i="117"/>
  <c r="G20"/>
  <c r="L16" i="119"/>
  <c r="AF17"/>
  <c r="AG17" s="1"/>
  <c r="X17"/>
  <c r="X40"/>
  <c r="AF40"/>
  <c r="AG40" s="1"/>
  <c r="X62"/>
  <c r="AF62"/>
  <c r="AK36" i="116"/>
  <c r="X73"/>
  <c r="X38"/>
  <c r="X37" s="1"/>
  <c r="K20" i="119"/>
  <c r="K13"/>
  <c r="L23"/>
  <c r="AF23" s="1"/>
  <c r="AG23" s="1"/>
  <c r="N22"/>
  <c r="N21" s="1"/>
  <c r="N20" s="1"/>
  <c r="K54"/>
  <c r="G60"/>
  <c r="Q146" i="94"/>
  <c r="Q143" s="1"/>
  <c r="Q124" s="1"/>
  <c r="G24" i="117"/>
  <c r="Q45" i="94"/>
  <c r="Q109"/>
  <c r="H212" i="117"/>
  <c r="S99" i="94"/>
  <c r="Q13" i="96" s="1"/>
  <c r="S97" i="94"/>
  <c r="U25" i="117"/>
  <c r="G25" s="1"/>
  <c r="M15" i="119"/>
  <c r="M14" s="1"/>
  <c r="M13" s="1"/>
  <c r="M12" s="1"/>
  <c r="I117" i="94"/>
  <c r="I88"/>
  <c r="H77" i="116"/>
  <c r="H76" s="1"/>
  <c r="G19" i="117"/>
  <c r="H197"/>
  <c r="X35" i="119"/>
  <c r="AF35"/>
  <c r="AG35" s="1"/>
  <c r="G161" i="94"/>
  <c r="L71" i="119"/>
  <c r="E32" i="116"/>
  <c r="H104" i="117"/>
  <c r="H209"/>
  <c r="O38" i="94"/>
  <c r="S18" i="119"/>
  <c r="X41"/>
  <c r="AF41"/>
  <c r="AG41" s="1"/>
  <c r="AF46"/>
  <c r="AG46"/>
  <c r="H158" i="117"/>
  <c r="K38" i="94"/>
  <c r="J65" i="119"/>
  <c r="J64" s="1"/>
  <c r="J57" s="1"/>
  <c r="J28" s="1"/>
  <c r="J12" s="1"/>
  <c r="AH72"/>
  <c r="AG72"/>
  <c r="AB77" i="116"/>
  <c r="AB76" s="1"/>
  <c r="AF34" i="119"/>
  <c r="AG34" s="1"/>
  <c r="AF45"/>
  <c r="AG45"/>
  <c r="N16"/>
  <c r="N15" s="1"/>
  <c r="N14" s="1"/>
  <c r="N13" s="1"/>
  <c r="J20"/>
  <c r="J13"/>
  <c r="L53"/>
  <c r="AF53" s="1"/>
  <c r="AG53" s="1"/>
  <c r="X66"/>
  <c r="AF66"/>
  <c r="G29" i="117"/>
  <c r="L51" i="119"/>
  <c r="AF51" s="1"/>
  <c r="AG51" s="1"/>
  <c r="N50"/>
  <c r="N49" s="1"/>
  <c r="I246" i="94"/>
  <c r="L27" i="119"/>
  <c r="G67" i="94"/>
  <c r="X38" i="119"/>
  <c r="AF38"/>
  <c r="AG38" s="1"/>
  <c r="I67"/>
  <c r="I75"/>
  <c r="G75"/>
  <c r="G74"/>
  <c r="I74"/>
  <c r="I73" s="1"/>
  <c r="G73" i="94"/>
  <c r="N74" i="119"/>
  <c r="N73" s="1"/>
  <c r="H74"/>
  <c r="H73"/>
  <c r="G113" i="94"/>
  <c r="G216"/>
  <c r="G41"/>
  <c r="E88" i="109"/>
  <c r="Q22"/>
  <c r="Q21" s="1"/>
  <c r="F37" i="108"/>
  <c r="E37"/>
  <c r="D81" i="94"/>
  <c r="D211"/>
  <c r="Q198"/>
  <c r="Q192" s="1"/>
  <c r="Q170"/>
  <c r="S53"/>
  <c r="S17" s="1"/>
  <c r="D107"/>
  <c r="S68"/>
  <c r="E206"/>
  <c r="E128"/>
  <c r="D143"/>
  <c r="F11" i="78"/>
  <c r="E19" i="76"/>
  <c r="D97" i="94"/>
  <c r="X51" i="119"/>
  <c r="I243" i="94"/>
  <c r="E243" s="1"/>
  <c r="G67" i="119"/>
  <c r="I162" i="94"/>
  <c r="AK74" i="116"/>
  <c r="F31"/>
  <c r="F73"/>
  <c r="AK73" s="1"/>
  <c r="F12" i="109"/>
  <c r="AD12" s="1"/>
  <c r="O35" i="111"/>
  <c r="Y35" s="1"/>
  <c r="E33"/>
  <c r="E31" s="1"/>
  <c r="AK92" i="116"/>
  <c r="M20" i="76"/>
  <c r="K11" i="103"/>
  <c r="G78" i="104"/>
  <c r="S16" i="103"/>
  <c r="E15" i="111"/>
  <c r="E10"/>
  <c r="M17"/>
  <c r="G17" s="1"/>
  <c r="F25" i="116"/>
  <c r="K27" i="109"/>
  <c r="V11"/>
  <c r="V10" s="1"/>
  <c r="K149" i="94"/>
  <c r="F9" i="108"/>
  <c r="E9" s="1"/>
  <c r="G8"/>
  <c r="F8" s="1"/>
  <c r="E8" s="1"/>
  <c r="AK66" i="116"/>
  <c r="E41" i="104"/>
  <c r="K38" i="109"/>
  <c r="G11" i="105"/>
  <c r="E25" i="111"/>
  <c r="J33"/>
  <c r="G33" s="1"/>
  <c r="K31"/>
  <c r="L47" i="108"/>
  <c r="G44"/>
  <c r="X14" i="103"/>
  <c r="K14" i="76"/>
  <c r="W10" i="111"/>
  <c r="F124" i="108"/>
  <c r="E124" s="1"/>
  <c r="G120"/>
  <c r="F6"/>
  <c r="E6" s="1"/>
  <c r="G104"/>
  <c r="F104"/>
  <c r="F106"/>
  <c r="E106" s="1"/>
  <c r="AJ23" i="116"/>
  <c r="P32"/>
  <c r="AK35"/>
  <c r="M38" i="109"/>
  <c r="F132" i="108"/>
  <c r="N38" i="109"/>
  <c r="P96"/>
  <c r="M189" i="94"/>
  <c r="E36" i="108"/>
  <c r="F100"/>
  <c r="E100"/>
  <c r="F113"/>
  <c r="M40" i="116"/>
  <c r="AE45"/>
  <c r="AE38" s="1"/>
  <c r="AE37" s="1"/>
  <c r="AJ87"/>
  <c r="AE82"/>
  <c r="U28" i="117"/>
  <c r="G28" s="1"/>
  <c r="F28"/>
  <c r="Q38" i="94"/>
  <c r="H229" i="117"/>
  <c r="X36" i="119"/>
  <c r="I19" i="121"/>
  <c r="E19" s="1"/>
  <c r="I10"/>
  <c r="I9"/>
  <c r="E14"/>
  <c r="Q89" i="94"/>
  <c r="Q88" s="1"/>
  <c r="O89"/>
  <c r="M29" i="119"/>
  <c r="M28" s="1"/>
  <c r="AF75"/>
  <c r="L74"/>
  <c r="AF74" s="1"/>
  <c r="AH74" s="1"/>
  <c r="AD21" i="116"/>
  <c r="AD20" s="1"/>
  <c r="H24"/>
  <c r="AC32"/>
  <c r="Z32"/>
  <c r="AF32"/>
  <c r="T38"/>
  <c r="T37" s="1"/>
  <c r="W38"/>
  <c r="W37"/>
  <c r="R77"/>
  <c r="R76" s="1"/>
  <c r="H81" i="117"/>
  <c r="M20" i="119"/>
  <c r="N65"/>
  <c r="N64"/>
  <c r="K213" i="94"/>
  <c r="H110" i="117"/>
  <c r="AF39" i="119"/>
  <c r="AG39" s="1"/>
  <c r="X39"/>
  <c r="AJ36" i="116"/>
  <c r="S77"/>
  <c r="S76" s="1"/>
  <c r="F17" i="117"/>
  <c r="G17"/>
  <c r="X61" i="119"/>
  <c r="AF61"/>
  <c r="AG61" s="1"/>
  <c r="E15" i="121"/>
  <c r="E11"/>
  <c r="I22" i="116"/>
  <c r="I20" s="1"/>
  <c r="V24"/>
  <c r="AH23"/>
  <c r="AH45"/>
  <c r="L77"/>
  <c r="L76" s="1"/>
  <c r="AH76" i="119"/>
  <c r="AG76"/>
  <c r="G15"/>
  <c r="G14" s="1"/>
  <c r="S14" s="1"/>
  <c r="S16"/>
  <c r="D18" i="121"/>
  <c r="C50" i="122"/>
  <c r="C39"/>
  <c r="AK29" i="116"/>
  <c r="AJ29"/>
  <c r="AJ35"/>
  <c r="S45"/>
  <c r="H22" i="119"/>
  <c r="H21" s="1"/>
  <c r="G24"/>
  <c r="G29"/>
  <c r="AF37"/>
  <c r="AG37" s="1"/>
  <c r="X37"/>
  <c r="G107" i="94"/>
  <c r="L65" i="119"/>
  <c r="AF65" s="1"/>
  <c r="Q31" i="123"/>
  <c r="Q30"/>
  <c r="R30"/>
  <c r="M42"/>
  <c r="Q47"/>
  <c r="X48"/>
  <c r="X47" s="1"/>
  <c r="G50"/>
  <c r="G49"/>
  <c r="H49"/>
  <c r="C54" i="122"/>
  <c r="C38"/>
  <c r="C11"/>
  <c r="AJ34" i="116"/>
  <c r="AH70" i="119"/>
  <c r="C75" i="122"/>
  <c r="G62" i="123"/>
  <c r="O73"/>
  <c r="F72"/>
  <c r="O48" i="94"/>
  <c r="U15" i="117"/>
  <c r="G11" i="121"/>
  <c r="G10" s="1"/>
  <c r="L52" i="119"/>
  <c r="AF52" s="1"/>
  <c r="AG52" s="1"/>
  <c r="C24" i="122"/>
  <c r="F12"/>
  <c r="F10"/>
  <c r="F9" s="1"/>
  <c r="C33"/>
  <c r="O13" i="123"/>
  <c r="W13"/>
  <c r="G29"/>
  <c r="G28"/>
  <c r="H28"/>
  <c r="H91"/>
  <c r="I97" i="94"/>
  <c r="AF18" i="119"/>
  <c r="AG18"/>
  <c r="C78" i="122"/>
  <c r="K16" i="123"/>
  <c r="K15" s="1"/>
  <c r="F15"/>
  <c r="O184" i="94"/>
  <c r="Q26" i="123"/>
  <c r="X27"/>
  <c r="G34"/>
  <c r="M39"/>
  <c r="K80"/>
  <c r="K74" s="1"/>
  <c r="K70" s="1"/>
  <c r="S10" i="121"/>
  <c r="S9"/>
  <c r="L55" i="119"/>
  <c r="L54" s="1"/>
  <c r="AF56"/>
  <c r="AG56"/>
  <c r="G62"/>
  <c r="C18" i="122"/>
  <c r="L16"/>
  <c r="G60" i="123"/>
  <c r="G59" s="1"/>
  <c r="N59" i="119"/>
  <c r="N58" s="1"/>
  <c r="L60"/>
  <c r="L59" s="1"/>
  <c r="C29" i="122"/>
  <c r="C15" s="1"/>
  <c r="D15"/>
  <c r="D13"/>
  <c r="D27"/>
  <c r="H21" i="123"/>
  <c r="N37"/>
  <c r="N35" s="1"/>
  <c r="N33" s="1"/>
  <c r="F35"/>
  <c r="T54"/>
  <c r="M59"/>
  <c r="K40" i="122"/>
  <c r="K14"/>
  <c r="K13" s="1"/>
  <c r="C43"/>
  <c r="D36"/>
  <c r="G14" i="123"/>
  <c r="Q21"/>
  <c r="G64"/>
  <c r="G63"/>
  <c r="M63"/>
  <c r="U70"/>
  <c r="Q70"/>
  <c r="E236" i="94"/>
  <c r="K199"/>
  <c r="G76" i="123"/>
  <c r="P81"/>
  <c r="E27" i="122"/>
  <c r="J12"/>
  <c r="J10" s="1"/>
  <c r="J9" s="1"/>
  <c r="C57"/>
  <c r="C53" s="1"/>
  <c r="H26" i="123"/>
  <c r="X44"/>
  <c r="H47"/>
  <c r="M57"/>
  <c r="K66"/>
  <c r="F80"/>
  <c r="O88" i="94"/>
  <c r="C28" i="122"/>
  <c r="E207" i="94"/>
  <c r="K21" i="123"/>
  <c r="H87"/>
  <c r="G87"/>
  <c r="H77"/>
  <c r="O93" i="94"/>
  <c r="S199"/>
  <c r="S198"/>
  <c r="O135"/>
  <c r="M37" i="123"/>
  <c r="G37" s="1"/>
  <c r="AH75" i="119"/>
  <c r="L73"/>
  <c r="AF73" s="1"/>
  <c r="K36" i="94"/>
  <c r="G15" i="117"/>
  <c r="K42" i="94" s="1"/>
  <c r="AE77" i="116"/>
  <c r="AE76"/>
  <c r="AE11" s="1"/>
  <c r="K13" i="76"/>
  <c r="K12" s="1"/>
  <c r="K9" s="1"/>
  <c r="F44" i="108"/>
  <c r="N35" i="111"/>
  <c r="F35" s="1"/>
  <c r="AD35" s="1"/>
  <c r="X52" i="119"/>
  <c r="L18" i="109"/>
  <c r="J18" s="1"/>
  <c r="K212" i="94"/>
  <c r="L27" i="109"/>
  <c r="G112" i="108"/>
  <c r="X26" i="123"/>
  <c r="X65" i="119"/>
  <c r="AG67"/>
  <c r="L44" i="108"/>
  <c r="E47"/>
  <c r="K65" i="123"/>
  <c r="X55" i="119"/>
  <c r="AF55"/>
  <c r="AG55" s="1"/>
  <c r="AH73"/>
  <c r="E204" i="94"/>
  <c r="G25" i="96"/>
  <c r="O25"/>
  <c r="S54" i="94"/>
  <c r="D149"/>
  <c r="S30"/>
  <c r="Q20"/>
  <c r="Q22"/>
  <c r="Q26"/>
  <c r="D69"/>
  <c r="I21"/>
  <c r="G26"/>
  <c r="S78"/>
  <c r="Q30" i="96" s="1"/>
  <c r="K77" i="94"/>
  <c r="K18"/>
  <c r="E251"/>
  <c r="M21"/>
  <c r="G19"/>
  <c r="K19"/>
  <c r="O19"/>
  <c r="O21"/>
  <c r="K21"/>
  <c r="G77"/>
  <c r="E15" i="96" s="1"/>
  <c r="D164" i="94"/>
  <c r="Q19"/>
  <c r="G21"/>
  <c r="O20"/>
  <c r="Q68"/>
  <c r="Q203"/>
  <c r="E151"/>
  <c r="D43"/>
  <c r="I14"/>
  <c r="G15"/>
  <c r="S15"/>
  <c r="K15"/>
  <c r="M15"/>
  <c r="O15"/>
  <c r="M170"/>
  <c r="E170" s="1"/>
  <c r="O80"/>
  <c r="O79" s="1"/>
  <c r="Q181"/>
  <c r="O24" i="96"/>
  <c r="K11" i="94"/>
  <c r="O11"/>
  <c r="Q14"/>
  <c r="Q11"/>
  <c r="E182"/>
  <c r="G11" i="96"/>
  <c r="M261" i="94"/>
  <c r="M194"/>
  <c r="G80"/>
  <c r="G79" s="1"/>
  <c r="K194"/>
  <c r="O194"/>
  <c r="K80"/>
  <c r="K79" s="1"/>
  <c r="Q23" i="96"/>
  <c r="S25" i="94"/>
  <c r="M11" i="96"/>
  <c r="Q15" i="94"/>
  <c r="Q52"/>
  <c r="D55"/>
  <c r="I11" i="96"/>
  <c r="E24"/>
  <c r="D76" i="94"/>
  <c r="Q24"/>
  <c r="S21"/>
  <c r="O261"/>
  <c r="M16"/>
  <c r="D88"/>
  <c r="I198"/>
  <c r="K13" i="96"/>
  <c r="G11" i="94"/>
  <c r="S194"/>
  <c r="E264"/>
  <c r="O68"/>
  <c r="E193"/>
  <c r="G18"/>
  <c r="S80"/>
  <c r="S79" s="1"/>
  <c r="Q21"/>
  <c r="S87"/>
  <c r="S11"/>
  <c r="M127"/>
  <c r="D36"/>
  <c r="O77"/>
  <c r="O18" s="1"/>
  <c r="I261"/>
  <c r="I25" s="1"/>
  <c r="G23" i="96" s="1"/>
  <c r="D48" i="94"/>
  <c r="Q12"/>
  <c r="E81"/>
  <c r="S19"/>
  <c r="Q80"/>
  <c r="Q79" s="1"/>
  <c r="E59"/>
  <c r="O27" i="96"/>
  <c r="C27" s="1"/>
  <c r="E31" i="94"/>
  <c r="E83"/>
  <c r="E46"/>
  <c r="K198"/>
  <c r="K14"/>
  <c r="X53" i="119"/>
  <c r="E11" i="76"/>
  <c r="I15" i="96"/>
  <c r="AF60" i="119"/>
  <c r="AG60" s="1"/>
  <c r="G55" i="94"/>
  <c r="X27" i="119"/>
  <c r="G65" i="94"/>
  <c r="E65" s="1"/>
  <c r="L26" i="119"/>
  <c r="AF27"/>
  <c r="AJ26" i="116"/>
  <c r="AK26"/>
  <c r="J15" i="111"/>
  <c r="K10"/>
  <c r="L10"/>
  <c r="L9"/>
  <c r="J19"/>
  <c r="G19" s="1"/>
  <c r="M20"/>
  <c r="M19" s="1"/>
  <c r="G20"/>
  <c r="M73" i="123"/>
  <c r="O72"/>
  <c r="O70" s="1"/>
  <c r="X73"/>
  <c r="N24" i="111"/>
  <c r="Y24"/>
  <c r="Y23" s="1"/>
  <c r="O23"/>
  <c r="O21" s="1"/>
  <c r="K25" i="76"/>
  <c r="AF59" i="119"/>
  <c r="H103" i="117"/>
  <c r="S40" i="116"/>
  <c r="S38" s="1"/>
  <c r="S37" s="1"/>
  <c r="S11" s="1"/>
  <c r="S18"/>
  <c r="Q19" i="109"/>
  <c r="E13" i="115"/>
  <c r="F12" i="78"/>
  <c r="G12"/>
  <c r="O187" i="94"/>
  <c r="L16" i="123"/>
  <c r="L15" s="1"/>
  <c r="I52" i="108"/>
  <c r="L50" i="119"/>
  <c r="L49" s="1"/>
  <c r="X49" s="1"/>
  <c r="Q25" i="96"/>
  <c r="M18" i="109"/>
  <c r="K93" i="94" s="1"/>
  <c r="G22" i="119"/>
  <c r="O107" i="94"/>
  <c r="I25" i="96"/>
  <c r="F15" i="117"/>
  <c r="K43" i="94"/>
  <c r="S15" i="119"/>
  <c r="R20"/>
  <c r="AK44" i="116"/>
  <c r="D14" i="76"/>
  <c r="J13"/>
  <c r="G42" i="109"/>
  <c r="F42"/>
  <c r="H38"/>
  <c r="F147" i="108"/>
  <c r="E147" s="1"/>
  <c r="G136"/>
  <c r="F69" i="116"/>
  <c r="E8" i="78"/>
  <c r="E16" i="116"/>
  <c r="F9" i="78"/>
  <c r="G9"/>
  <c r="E31" i="76"/>
  <c r="K46" i="104"/>
  <c r="E21" i="109"/>
  <c r="Y23"/>
  <c r="AC25"/>
  <c r="I118" i="94"/>
  <c r="K155"/>
  <c r="F10" i="78"/>
  <c r="F13" i="104"/>
  <c r="F12" s="1"/>
  <c r="K52" i="94"/>
  <c r="S14" i="103"/>
  <c r="T13"/>
  <c r="E55" i="105"/>
  <c r="E53" s="1"/>
  <c r="O53"/>
  <c r="K145" i="94"/>
  <c r="I21" i="109"/>
  <c r="E109"/>
  <c r="F107"/>
  <c r="F11" i="105"/>
  <c r="P15" i="109"/>
  <c r="E13"/>
  <c r="K48" i="94"/>
  <c r="M41" i="108"/>
  <c r="AG75" i="119"/>
  <c r="AJ19" i="116"/>
  <c r="F46"/>
  <c r="F6" i="115"/>
  <c r="E7"/>
  <c r="Q12" i="103"/>
  <c r="T12"/>
  <c r="T11" s="1"/>
  <c r="R12"/>
  <c r="F94" i="109"/>
  <c r="G93"/>
  <c r="K255" i="94"/>
  <c r="E254"/>
  <c r="X37" i="123"/>
  <c r="X35" s="1"/>
  <c r="E15" i="76"/>
  <c r="U11" i="103"/>
  <c r="J11" i="105"/>
  <c r="J8" s="1"/>
  <c r="F104" i="109"/>
  <c r="E104" s="1"/>
  <c r="F70" i="108"/>
  <c r="E70" s="1"/>
  <c r="M143" i="94" s="1"/>
  <c r="F29" i="108"/>
  <c r="E29" s="1"/>
  <c r="H28"/>
  <c r="M108" i="94" s="1"/>
  <c r="I68" i="108"/>
  <c r="S13" i="76"/>
  <c r="S12" s="1"/>
  <c r="S9" s="1"/>
  <c r="I13" i="104"/>
  <c r="E106"/>
  <c r="E100"/>
  <c r="G13" i="109"/>
  <c r="Y24"/>
  <c r="AD24" s="1"/>
  <c r="J38"/>
  <c r="J36" s="1"/>
  <c r="I58"/>
  <c r="G58" s="1"/>
  <c r="F58" s="1"/>
  <c r="E58" s="1"/>
  <c r="G59"/>
  <c r="F59" s="1"/>
  <c r="E59" s="1"/>
  <c r="F89"/>
  <c r="G87"/>
  <c r="F60" i="108"/>
  <c r="E60"/>
  <c r="E42"/>
  <c r="E22" i="76"/>
  <c r="G231" i="94"/>
  <c r="E56" i="105"/>
  <c r="G229" i="94" s="1"/>
  <c r="E18" i="76"/>
  <c r="H26" i="105"/>
  <c r="H53"/>
  <c r="E57"/>
  <c r="O34" i="111"/>
  <c r="N34" s="1"/>
  <c r="F34" s="1"/>
  <c r="AD34" s="1"/>
  <c r="E107" i="109"/>
  <c r="W11"/>
  <c r="W10" s="1"/>
  <c r="E43"/>
  <c r="K183" i="94"/>
  <c r="J79" i="109"/>
  <c r="M16" i="108"/>
  <c r="M5" s="1"/>
  <c r="F98"/>
  <c r="E98" s="1"/>
  <c r="H97"/>
  <c r="M98" i="94" s="1"/>
  <c r="F134" i="108"/>
  <c r="L136"/>
  <c r="K57" i="119"/>
  <c r="E46" i="105"/>
  <c r="H48" i="109"/>
  <c r="L35" i="108"/>
  <c r="AJ13" i="116"/>
  <c r="J45"/>
  <c r="J38" s="1"/>
  <c r="J37" s="1"/>
  <c r="J65" i="104"/>
  <c r="H31" i="111"/>
  <c r="M79" i="109"/>
  <c r="J16" i="108"/>
  <c r="J5" s="1"/>
  <c r="F35"/>
  <c r="E35" s="1"/>
  <c r="F38"/>
  <c r="E38" s="1"/>
  <c r="M256" i="94" s="1"/>
  <c r="M158"/>
  <c r="M156" s="1"/>
  <c r="E156" s="1"/>
  <c r="G13" i="104"/>
  <c r="M20" i="109"/>
  <c r="G20" s="1"/>
  <c r="AA10" i="111"/>
  <c r="AA9"/>
  <c r="F25" i="108"/>
  <c r="E25"/>
  <c r="F80"/>
  <c r="E80"/>
  <c r="C15" i="128"/>
  <c r="D183" i="94"/>
  <c r="AC22" i="116"/>
  <c r="AC20" s="1"/>
  <c r="AC12" s="1"/>
  <c r="AC10" s="1"/>
  <c r="AD24"/>
  <c r="H32"/>
  <c r="AJ39"/>
  <c r="Q38"/>
  <c r="Q37" s="1"/>
  <c r="Q11" s="1"/>
  <c r="E43"/>
  <c r="AF45"/>
  <c r="AF38"/>
  <c r="AF37" s="1"/>
  <c r="E59"/>
  <c r="Y77"/>
  <c r="Y76" s="1"/>
  <c r="Y11" s="1"/>
  <c r="AD77"/>
  <c r="AD76" s="1"/>
  <c r="K69" i="94"/>
  <c r="K68" s="1"/>
  <c r="F86" i="116"/>
  <c r="Q256" i="94"/>
  <c r="Q210" s="1"/>
  <c r="Q202" s="1"/>
  <c r="H201" i="117"/>
  <c r="E45" i="94"/>
  <c r="G13" i="96"/>
  <c r="X33" i="119"/>
  <c r="AF33"/>
  <c r="AG33"/>
  <c r="G31" i="123"/>
  <c r="U32" i="116"/>
  <c r="AF47" i="119"/>
  <c r="AG47" s="1"/>
  <c r="G43" i="123"/>
  <c r="X57"/>
  <c r="X56" s="1"/>
  <c r="X54" s="1"/>
  <c r="N56"/>
  <c r="N54" s="1"/>
  <c r="AB45" i="116"/>
  <c r="AB38" s="1"/>
  <c r="AB37" s="1"/>
  <c r="AB11" s="1"/>
  <c r="K31" i="119"/>
  <c r="I59"/>
  <c r="I58" s="1"/>
  <c r="AH63"/>
  <c r="G63"/>
  <c r="AG63"/>
  <c r="J120" i="108"/>
  <c r="AF21" i="116"/>
  <c r="AF20" s="1"/>
  <c r="R45"/>
  <c r="H224" i="117"/>
  <c r="G12" i="96"/>
  <c r="Y22" i="116"/>
  <c r="Y20" s="1"/>
  <c r="AE32"/>
  <c r="M45"/>
  <c r="M38" s="1"/>
  <c r="M37" s="1"/>
  <c r="Z22"/>
  <c r="Z20"/>
  <c r="AD45"/>
  <c r="AD38"/>
  <c r="AD37" s="1"/>
  <c r="AD11" s="1"/>
  <c r="F88"/>
  <c r="F87" s="1"/>
  <c r="S16" i="94"/>
  <c r="N31" i="119"/>
  <c r="L32"/>
  <c r="L31" s="1"/>
  <c r="AJ62" i="116"/>
  <c r="H59" i="119"/>
  <c r="H58" s="1"/>
  <c r="H57" s="1"/>
  <c r="G39" i="94"/>
  <c r="G13" s="1"/>
  <c r="S14"/>
  <c r="H21" i="116"/>
  <c r="H20" s="1"/>
  <c r="E13" i="121"/>
  <c r="R70" i="123"/>
  <c r="D36" i="128"/>
  <c r="C43"/>
  <c r="H16" i="122"/>
  <c r="L39" i="123"/>
  <c r="H39" s="1"/>
  <c r="I54"/>
  <c r="S54"/>
  <c r="E57" i="94"/>
  <c r="I16" i="122"/>
  <c r="E36"/>
  <c r="T70" i="123"/>
  <c r="K36" i="128"/>
  <c r="K11" i="122"/>
  <c r="K10"/>
  <c r="K9" s="1"/>
  <c r="C47"/>
  <c r="K35" i="123"/>
  <c r="I21"/>
  <c r="G27"/>
  <c r="G26"/>
  <c r="R29"/>
  <c r="R28"/>
  <c r="R13" s="1"/>
  <c r="G37" i="128"/>
  <c r="AT63"/>
  <c r="AO63" i="122"/>
  <c r="AN63" s="1"/>
  <c r="L11"/>
  <c r="H37"/>
  <c r="S28" i="123"/>
  <c r="S13"/>
  <c r="I83"/>
  <c r="H27" i="128"/>
  <c r="K14"/>
  <c r="E27"/>
  <c r="I12"/>
  <c r="I10" s="1"/>
  <c r="I9" s="1"/>
  <c r="F18" i="123"/>
  <c r="I42"/>
  <c r="M91"/>
  <c r="G91" s="1"/>
  <c r="C24" i="128"/>
  <c r="F42" i="123"/>
  <c r="M89"/>
  <c r="M88" s="1"/>
  <c r="M86" s="1"/>
  <c r="K27" i="128"/>
  <c r="K16" s="1"/>
  <c r="E12"/>
  <c r="E10" s="1"/>
  <c r="P22" i="123"/>
  <c r="M22" s="1"/>
  <c r="AD19" i="128"/>
  <c r="C54"/>
  <c r="C53" s="1"/>
  <c r="E12" i="122"/>
  <c r="E10" s="1"/>
  <c r="H44" i="123"/>
  <c r="G44" s="1"/>
  <c r="Q54" i="94"/>
  <c r="Q53"/>
  <c r="AC24" i="109"/>
  <c r="E11"/>
  <c r="X50" i="119"/>
  <c r="N16" i="111"/>
  <c r="G18" i="109"/>
  <c r="O50" i="94"/>
  <c r="X72" i="123"/>
  <c r="X70" s="1"/>
  <c r="L25" i="119"/>
  <c r="AF26"/>
  <c r="X26"/>
  <c r="E158" i="94"/>
  <c r="K49"/>
  <c r="K25" s="1"/>
  <c r="I23" i="96" s="1"/>
  <c r="N15" i="109"/>
  <c r="P13"/>
  <c r="P11" s="1"/>
  <c r="P10" s="1"/>
  <c r="G59" i="119"/>
  <c r="G58"/>
  <c r="E10" i="76"/>
  <c r="I41" i="94"/>
  <c r="I28" s="1"/>
  <c r="G21" i="96" s="1"/>
  <c r="N30" i="119"/>
  <c r="Y21" i="109"/>
  <c r="K147" i="94"/>
  <c r="E12" i="96"/>
  <c r="K113" i="94"/>
  <c r="M17" i="109"/>
  <c r="Y34" i="111"/>
  <c r="Y33" s="1"/>
  <c r="Y31" s="1"/>
  <c r="O33"/>
  <c r="O31" s="1"/>
  <c r="K53" i="94"/>
  <c r="K54"/>
  <c r="G8" i="78"/>
  <c r="F8"/>
  <c r="H36" i="109"/>
  <c r="G38"/>
  <c r="F38" s="1"/>
  <c r="G21" i="119"/>
  <c r="M72" i="123"/>
  <c r="G73"/>
  <c r="G72" s="1"/>
  <c r="O92" i="94"/>
  <c r="E89" i="109"/>
  <c r="E87" s="1"/>
  <c r="F87"/>
  <c r="I17" i="96"/>
  <c r="K22" i="94"/>
  <c r="AJ16" i="116"/>
  <c r="K192" i="94"/>
  <c r="N26" i="111"/>
  <c r="N19" i="109"/>
  <c r="H16" i="108"/>
  <c r="H5" s="1"/>
  <c r="F21" i="116"/>
  <c r="P21" i="123"/>
  <c r="G68" i="94"/>
  <c r="K181"/>
  <c r="K184"/>
  <c r="S12" i="103"/>
  <c r="I52" i="94"/>
  <c r="AC23" i="109"/>
  <c r="F23"/>
  <c r="AD23" s="1"/>
  <c r="O183" i="94"/>
  <c r="O181" s="1"/>
  <c r="AG59" i="119"/>
  <c r="K30"/>
  <c r="K29" s="1"/>
  <c r="K28" s="1"/>
  <c r="K12" s="1"/>
  <c r="E57" i="116"/>
  <c r="F59"/>
  <c r="AK59" s="1"/>
  <c r="AJ59"/>
  <c r="F93" i="109"/>
  <c r="E94"/>
  <c r="E93" s="1"/>
  <c r="F43" i="116"/>
  <c r="AK43" s="1"/>
  <c r="AJ43"/>
  <c r="E18"/>
  <c r="AJ18" s="1"/>
  <c r="AC12" i="111"/>
  <c r="K30" i="94"/>
  <c r="O94"/>
  <c r="I41" i="108"/>
  <c r="Q20" i="111"/>
  <c r="N20" s="1"/>
  <c r="H93" i="108"/>
  <c r="F93" s="1"/>
  <c r="K11" i="96"/>
  <c r="R46" i="105"/>
  <c r="F28" i="108"/>
  <c r="E28"/>
  <c r="G89" i="123"/>
  <c r="F89" s="1"/>
  <c r="F88" s="1"/>
  <c r="F86" s="1"/>
  <c r="Y15" i="109"/>
  <c r="Y13" s="1"/>
  <c r="G226" i="94"/>
  <c r="E226" s="1"/>
  <c r="AK19" i="116"/>
  <c r="H16" i="123"/>
  <c r="G16" s="1"/>
  <c r="N23" i="111"/>
  <c r="AC24"/>
  <c r="F24"/>
  <c r="AD24" s="1"/>
  <c r="AC19" i="109"/>
  <c r="F19"/>
  <c r="AF49" i="119"/>
  <c r="AG49" s="1"/>
  <c r="Q18" i="109"/>
  <c r="N18" s="1"/>
  <c r="K94" i="94" s="1"/>
  <c r="H15" i="123"/>
  <c r="G39"/>
  <c r="O49" i="94"/>
  <c r="Q27" i="109"/>
  <c r="K50" i="94"/>
  <c r="AC26" i="111"/>
  <c r="F26"/>
  <c r="I19" i="96"/>
  <c r="K23" i="94"/>
  <c r="E184"/>
  <c r="F15" i="109"/>
  <c r="AD15" s="1"/>
  <c r="N13"/>
  <c r="I53" i="94"/>
  <c r="I17" s="1"/>
  <c r="I54"/>
  <c r="F18" i="116"/>
  <c r="F23" i="111"/>
  <c r="AD23" s="1"/>
  <c r="K17" i="94"/>
  <c r="I14" i="96"/>
  <c r="M11" i="109"/>
  <c r="M10" s="1"/>
  <c r="X25" i="119"/>
  <c r="AF25"/>
  <c r="H79" i="108"/>
  <c r="Q19" i="111"/>
  <c r="AJ57" i="116"/>
  <c r="E22"/>
  <c r="G22" i="123"/>
  <c r="M21"/>
  <c r="O136" i="94"/>
  <c r="Q20" i="109"/>
  <c r="K114" i="94" s="1"/>
  <c r="AC16" i="111"/>
  <c r="F16"/>
  <c r="AD16" s="1"/>
  <c r="E10" i="109"/>
  <c r="AD19"/>
  <c r="N19" i="111"/>
  <c r="AC19" s="1"/>
  <c r="AC20"/>
  <c r="F20"/>
  <c r="G14" i="96"/>
  <c r="F13" i="109"/>
  <c r="AD13" s="1"/>
  <c r="K88" i="94"/>
  <c r="N20" i="109"/>
  <c r="AC20" s="1"/>
  <c r="O25" i="94"/>
  <c r="M23" i="96"/>
  <c r="N27" i="109"/>
  <c r="K218" i="94"/>
  <c r="AC28" i="109"/>
  <c r="AD28"/>
  <c r="F18"/>
  <c r="AD18" s="1"/>
  <c r="AD26" i="111"/>
  <c r="AD20"/>
  <c r="F19"/>
  <c r="AD19" s="1"/>
  <c r="E218" i="94"/>
  <c r="K211"/>
  <c r="AF31" i="119" l="1"/>
  <c r="AG31" s="1"/>
  <c r="X31"/>
  <c r="I36" i="94"/>
  <c r="Y11" i="109"/>
  <c r="Y10" s="1"/>
  <c r="AC13"/>
  <c r="AF32" i="119"/>
  <c r="AG32" s="1"/>
  <c r="E22" i="108"/>
  <c r="F53"/>
  <c r="E53" s="1"/>
  <c r="H52"/>
  <c r="H41" s="1"/>
  <c r="M162" i="94"/>
  <c r="E164"/>
  <c r="H12" i="117"/>
  <c r="O58" i="94"/>
  <c r="E58" s="1"/>
  <c r="F18" i="117"/>
  <c r="O36" i="94"/>
  <c r="V36" s="1"/>
  <c r="G18" i="117"/>
  <c r="O42" i="94" s="1"/>
  <c r="H162" i="117"/>
  <c r="O99" i="94"/>
  <c r="O109"/>
  <c r="H165" i="117"/>
  <c r="H126" s="1"/>
  <c r="U220"/>
  <c r="H214"/>
  <c r="Q97" i="94"/>
  <c r="Q87" s="1"/>
  <c r="H227" i="117"/>
  <c r="H172" s="1"/>
  <c r="H85" s="1"/>
  <c r="F20" i="109"/>
  <c r="AC15"/>
  <c r="AC34" i="111"/>
  <c r="X32" i="119"/>
  <c r="G21" i="109"/>
  <c r="I11"/>
  <c r="I10" s="1"/>
  <c r="H44" i="105"/>
  <c r="E45"/>
  <c r="E44" s="1"/>
  <c r="N17" i="109"/>
  <c r="F97" i="108"/>
  <c r="E97" s="1"/>
  <c r="AK18" i="116"/>
  <c r="Q99" i="94"/>
  <c r="M183"/>
  <c r="M19" i="96"/>
  <c r="O23" i="94"/>
  <c r="E23" s="1"/>
  <c r="G73" i="119"/>
  <c r="AG73" s="1"/>
  <c r="AG74"/>
  <c r="H86" i="117"/>
  <c r="Y15" i="103"/>
  <c r="M44" i="94" s="1"/>
  <c r="V15" i="103"/>
  <c r="W15" s="1"/>
  <c r="K25" i="111"/>
  <c r="J27"/>
  <c r="M27" s="1"/>
  <c r="F103" i="109"/>
  <c r="G102"/>
  <c r="I136" i="108"/>
  <c r="F137"/>
  <c r="E137" s="1"/>
  <c r="M248" i="94"/>
  <c r="D248"/>
  <c r="P82" i="116"/>
  <c r="P22"/>
  <c r="P20" s="1"/>
  <c r="G13" i="117"/>
  <c r="I47" i="94" s="1"/>
  <c r="I43"/>
  <c r="N33" i="111"/>
  <c r="AC33" s="1"/>
  <c r="Q17" i="109"/>
  <c r="Q11" s="1"/>
  <c r="Q10" s="1"/>
  <c r="AF50" i="119"/>
  <c r="AG50" s="1"/>
  <c r="K29" i="96"/>
  <c r="M26" i="94"/>
  <c r="E189"/>
  <c r="E33" i="108"/>
  <c r="M149" i="94" s="1"/>
  <c r="E149" s="1"/>
  <c r="M152"/>
  <c r="E152" s="1"/>
  <c r="L31" i="108"/>
  <c r="I20" i="76"/>
  <c r="I9" s="1"/>
  <c r="E21"/>
  <c r="E20" s="1"/>
  <c r="F41" i="104"/>
  <c r="J46"/>
  <c r="G24" i="96"/>
  <c r="I11" i="94"/>
  <c r="E219"/>
  <c r="E29" i="96"/>
  <c r="G211" i="94"/>
  <c r="I70" i="123"/>
  <c r="H12" i="116"/>
  <c r="H10" s="1"/>
  <c r="H8" i="105"/>
  <c r="I15" i="94"/>
  <c r="I194"/>
  <c r="I192" s="1"/>
  <c r="L81" i="123"/>
  <c r="M81"/>
  <c r="M80" s="1"/>
  <c r="M74" s="1"/>
  <c r="M70" s="1"/>
  <c r="P80"/>
  <c r="P74" s="1"/>
  <c r="P70" s="1"/>
  <c r="AJ31" i="116"/>
  <c r="AK31"/>
  <c r="I9" i="111"/>
  <c r="X18" i="76"/>
  <c r="Z9"/>
  <c r="S25"/>
  <c r="E26"/>
  <c r="O13"/>
  <c r="O12" s="1"/>
  <c r="O9" s="1"/>
  <c r="E16"/>
  <c r="G234" i="94"/>
  <c r="K49" i="105"/>
  <c r="E52"/>
  <c r="G233" i="94" s="1"/>
  <c r="G228"/>
  <c r="P53" i="105"/>
  <c r="K11" i="109"/>
  <c r="K10" s="1"/>
  <c r="E162" i="94"/>
  <c r="E80" i="116"/>
  <c r="P79"/>
  <c r="P77" s="1"/>
  <c r="P76" s="1"/>
  <c r="Y21" i="111"/>
  <c r="M11" i="94"/>
  <c r="M56" i="123"/>
  <c r="G57"/>
  <c r="G56" s="1"/>
  <c r="C37" i="122"/>
  <c r="N22" i="109"/>
  <c r="AJ25" i="116"/>
  <c r="AK25"/>
  <c r="F26" i="109"/>
  <c r="AD26" s="1"/>
  <c r="AC26"/>
  <c r="D192" i="94"/>
  <c r="Q261"/>
  <c r="Q25" s="1"/>
  <c r="O23" i="96" s="1"/>
  <c r="E12" i="104"/>
  <c r="G100"/>
  <c r="M68" i="94"/>
  <c r="M78"/>
  <c r="M77"/>
  <c r="K15" i="96" s="1"/>
  <c r="M18" i="111"/>
  <c r="G18" s="1"/>
  <c r="U10"/>
  <c r="U9" s="1"/>
  <c r="R21"/>
  <c r="R9" s="1"/>
  <c r="H30"/>
  <c r="E29"/>
  <c r="E21" s="1"/>
  <c r="AC32"/>
  <c r="F32"/>
  <c r="AD32" s="1"/>
  <c r="G78" i="116"/>
  <c r="P13"/>
  <c r="E9" i="122"/>
  <c r="G12" i="104"/>
  <c r="O8" i="105"/>
  <c r="E203" i="94"/>
  <c r="H20" i="119"/>
  <c r="H13" s="1"/>
  <c r="I12" i="116"/>
  <c r="E9" i="111"/>
  <c r="M13" i="96"/>
  <c r="O16" i="94"/>
  <c r="L69" i="119"/>
  <c r="G159" i="94"/>
  <c r="AF71" i="119"/>
  <c r="AG62"/>
  <c r="M40" i="111"/>
  <c r="G40"/>
  <c r="H79" i="109"/>
  <c r="P79"/>
  <c r="F98"/>
  <c r="G97"/>
  <c r="G96" s="1"/>
  <c r="G79" s="1"/>
  <c r="T12" i="116"/>
  <c r="T32"/>
  <c r="AJ32" s="1"/>
  <c r="AJ33"/>
  <c r="Y32"/>
  <c r="AK33"/>
  <c r="E10" i="121"/>
  <c r="Q42" i="94"/>
  <c r="E46" i="116"/>
  <c r="J77"/>
  <c r="J76" s="1"/>
  <c r="E25" i="76"/>
  <c r="E13" i="104"/>
  <c r="G32"/>
  <c r="G25" s="1"/>
  <c r="F56"/>
  <c r="O11" i="105"/>
  <c r="E16"/>
  <c r="E37"/>
  <c r="S31" i="111"/>
  <c r="T36" i="109"/>
  <c r="O96"/>
  <c r="E17" i="108"/>
  <c r="M36" i="94"/>
  <c r="P70" i="116"/>
  <c r="R28"/>
  <c r="R24" s="1"/>
  <c r="U82"/>
  <c r="U77" s="1"/>
  <c r="U76" s="1"/>
  <c r="U22"/>
  <c r="P40" i="123"/>
  <c r="K40"/>
  <c r="F38"/>
  <c r="F33" s="1"/>
  <c r="F12" i="128"/>
  <c r="F10" s="1"/>
  <c r="F9" s="1"/>
  <c r="F27"/>
  <c r="E20" i="94"/>
  <c r="E44" i="108"/>
  <c r="X60" i="119"/>
  <c r="X42" i="123"/>
  <c r="X33" s="1"/>
  <c r="Q13"/>
  <c r="E17" i="76"/>
  <c r="H32" i="104"/>
  <c r="E40"/>
  <c r="G56"/>
  <c r="G55" s="1"/>
  <c r="J78"/>
  <c r="F106"/>
  <c r="I11" i="105"/>
  <c r="I8" s="1"/>
  <c r="G26"/>
  <c r="G8" s="1"/>
  <c r="X9" i="111"/>
  <c r="O10"/>
  <c r="O9" s="1"/>
  <c r="I21"/>
  <c r="W31"/>
  <c r="G39" i="109"/>
  <c r="F39" s="1"/>
  <c r="E39" s="1"/>
  <c r="O36"/>
  <c r="I48"/>
  <c r="I36" s="1"/>
  <c r="L36"/>
  <c r="K97" i="94"/>
  <c r="J93" i="108"/>
  <c r="J79" s="1"/>
  <c r="J4" s="1"/>
  <c r="AA32" i="116"/>
  <c r="AA12" s="1"/>
  <c r="I69" i="94"/>
  <c r="I68" s="1"/>
  <c r="E68" s="1"/>
  <c r="O12" i="123"/>
  <c r="E19" i="94"/>
  <c r="E24"/>
  <c r="J27" i="109"/>
  <c r="G27" s="1"/>
  <c r="AC27" s="1"/>
  <c r="C12" i="122"/>
  <c r="D16"/>
  <c r="E132" i="108"/>
  <c r="J31" i="111"/>
  <c r="K36" i="109"/>
  <c r="E27" i="76"/>
  <c r="E29"/>
  <c r="E30"/>
  <c r="E32"/>
  <c r="X9"/>
  <c r="G261" i="94"/>
  <c r="E261" s="1"/>
  <c r="I32" i="104"/>
  <c r="F32"/>
  <c r="F25" s="1"/>
  <c r="F46"/>
  <c r="H65"/>
  <c r="O55" i="94"/>
  <c r="F70" i="104"/>
  <c r="K78"/>
  <c r="E86"/>
  <c r="G106"/>
  <c r="M52" i="94"/>
  <c r="T11" i="109"/>
  <c r="T10" s="1"/>
  <c r="S11"/>
  <c r="S10" s="1"/>
  <c r="R11"/>
  <c r="R10" s="1"/>
  <c r="AD12" i="111"/>
  <c r="AC22"/>
  <c r="V31"/>
  <c r="R38" i="109"/>
  <c r="G31" i="108"/>
  <c r="F31" s="1"/>
  <c r="E31" s="1"/>
  <c r="M187" i="94"/>
  <c r="E187" s="1"/>
  <c r="K52" i="108"/>
  <c r="F75"/>
  <c r="E75" s="1"/>
  <c r="I79"/>
  <c r="H121"/>
  <c r="M92" i="94" s="1"/>
  <c r="M88" s="1"/>
  <c r="E88" s="1"/>
  <c r="H136" i="108"/>
  <c r="F136" s="1"/>
  <c r="F145"/>
  <c r="N38" i="116"/>
  <c r="N37" s="1"/>
  <c r="U45"/>
  <c r="U38" s="1"/>
  <c r="U37" s="1"/>
  <c r="U21"/>
  <c r="G22"/>
  <c r="AJ22" s="1"/>
  <c r="G45"/>
  <c r="G38" s="1"/>
  <c r="G37" s="1"/>
  <c r="R65"/>
  <c r="R38" s="1"/>
  <c r="R37" s="1"/>
  <c r="R11" s="1"/>
  <c r="M48" i="109"/>
  <c r="M36" s="1"/>
  <c r="T96"/>
  <c r="T79" s="1"/>
  <c r="I16" i="108"/>
  <c r="I5" s="1"/>
  <c r="M131" i="94"/>
  <c r="E131" s="1"/>
  <c r="F73" i="108"/>
  <c r="E73" s="1"/>
  <c r="F127"/>
  <c r="E127" s="1"/>
  <c r="F149"/>
  <c r="E149" s="1"/>
  <c r="H6" i="115"/>
  <c r="T20" i="116"/>
  <c r="G24"/>
  <c r="Q24"/>
  <c r="Q12" s="1"/>
  <c r="Q10" s="1"/>
  <c r="Y24"/>
  <c r="Y12" s="1"/>
  <c r="Y10" s="1"/>
  <c r="AE24"/>
  <c r="AE12" s="1"/>
  <c r="AE10" s="1"/>
  <c r="R32"/>
  <c r="V45"/>
  <c r="V38" s="1"/>
  <c r="V37" s="1"/>
  <c r="V11" s="1"/>
  <c r="K77"/>
  <c r="K76" s="1"/>
  <c r="Z77"/>
  <c r="Z76" s="1"/>
  <c r="E83"/>
  <c r="H119" i="117"/>
  <c r="H118" s="1"/>
  <c r="I27" i="119"/>
  <c r="H26"/>
  <c r="H25" s="1"/>
  <c r="L44"/>
  <c r="N43"/>
  <c r="N42" s="1"/>
  <c r="N29" s="1"/>
  <c r="F21" i="123"/>
  <c r="F13" s="1"/>
  <c r="F12" s="1"/>
  <c r="X45"/>
  <c r="O147" i="94" s="1"/>
  <c r="H45" i="123"/>
  <c r="G45" s="1"/>
  <c r="G42" s="1"/>
  <c r="J54"/>
  <c r="K88"/>
  <c r="K86" s="1"/>
  <c r="L10" i="128"/>
  <c r="L40"/>
  <c r="L15"/>
  <c r="L13" s="1"/>
  <c r="AQ63"/>
  <c r="AO63"/>
  <c r="N48" i="109"/>
  <c r="G54"/>
  <c r="F54" s="1"/>
  <c r="E54" s="1"/>
  <c r="N79"/>
  <c r="O79"/>
  <c r="E10" i="108"/>
  <c r="G16"/>
  <c r="L16"/>
  <c r="L5" s="1"/>
  <c r="K41"/>
  <c r="F49"/>
  <c r="E49" s="1"/>
  <c r="L79"/>
  <c r="K120"/>
  <c r="L120"/>
  <c r="G20" i="116"/>
  <c r="Z24"/>
  <c r="Z12" s="1"/>
  <c r="AF24"/>
  <c r="AF12" s="1"/>
  <c r="I24"/>
  <c r="F32"/>
  <c r="S32"/>
  <c r="S12" s="1"/>
  <c r="S10" s="1"/>
  <c r="V32"/>
  <c r="L45"/>
  <c r="L38" s="1"/>
  <c r="L37" s="1"/>
  <c r="O45"/>
  <c r="O38" s="1"/>
  <c r="O37" s="1"/>
  <c r="AB20"/>
  <c r="I45"/>
  <c r="I38" s="1"/>
  <c r="I37" s="1"/>
  <c r="AA77"/>
  <c r="AA76" s="1"/>
  <c r="AA11" s="1"/>
  <c r="AA10" s="1"/>
  <c r="K109" i="94"/>
  <c r="G70" i="119"/>
  <c r="I69"/>
  <c r="I68" s="1"/>
  <c r="N69"/>
  <c r="N68" s="1"/>
  <c r="N57" s="1"/>
  <c r="G27" i="122"/>
  <c r="G16" s="1"/>
  <c r="G12"/>
  <c r="G10" s="1"/>
  <c r="G9" s="1"/>
  <c r="C41"/>
  <c r="C40" s="1"/>
  <c r="P20" i="123"/>
  <c r="M20" s="1"/>
  <c r="K20"/>
  <c r="M17" i="96"/>
  <c r="O145" i="94"/>
  <c r="O22" s="1"/>
  <c r="R51" i="123"/>
  <c r="Q52"/>
  <c r="Q51" s="1"/>
  <c r="Q33" s="1"/>
  <c r="L93"/>
  <c r="L88" s="1"/>
  <c r="L86" s="1"/>
  <c r="D12" i="128"/>
  <c r="D10" s="1"/>
  <c r="D37"/>
  <c r="G195" i="94" s="1"/>
  <c r="E13" i="128"/>
  <c r="E9" s="1"/>
  <c r="C75"/>
  <c r="E20" i="115"/>
  <c r="E6" s="1"/>
  <c r="AK13" i="116"/>
  <c r="AD32"/>
  <c r="AD12" s="1"/>
  <c r="AD10" s="1"/>
  <c r="AK34"/>
  <c r="E41"/>
  <c r="I77"/>
  <c r="I76" s="1"/>
  <c r="H31" i="117"/>
  <c r="E85"/>
  <c r="L12" i="122"/>
  <c r="L10" s="1"/>
  <c r="L9" s="1"/>
  <c r="N17" i="123"/>
  <c r="X17"/>
  <c r="X15" s="1"/>
  <c r="X13" s="1"/>
  <c r="X12" s="1"/>
  <c r="U33"/>
  <c r="U12" s="1"/>
  <c r="P66"/>
  <c r="L66" s="1"/>
  <c r="F65"/>
  <c r="F58" s="1"/>
  <c r="F54" s="1"/>
  <c r="G36" i="128"/>
  <c r="E72"/>
  <c r="D13" i="121"/>
  <c r="C16" i="96"/>
  <c r="C14" i="122"/>
  <c r="AF10" s="1"/>
  <c r="D12"/>
  <c r="D10" s="1"/>
  <c r="E13"/>
  <c r="T13" i="123"/>
  <c r="M28"/>
  <c r="R58"/>
  <c r="J70"/>
  <c r="I74"/>
  <c r="G78"/>
  <c r="G77" s="1"/>
  <c r="F16" i="128"/>
  <c r="C28"/>
  <c r="G16"/>
  <c r="C14"/>
  <c r="C13" s="1"/>
  <c r="E36"/>
  <c r="C36" s="1"/>
  <c r="F36"/>
  <c r="AP63"/>
  <c r="I31" i="119"/>
  <c r="I30" s="1"/>
  <c r="I66"/>
  <c r="I65" s="1"/>
  <c r="I64" s="1"/>
  <c r="I57" s="1"/>
  <c r="D19" i="121"/>
  <c r="D80" i="94"/>
  <c r="O18" i="96"/>
  <c r="C18" s="1"/>
  <c r="Q28" i="94"/>
  <c r="O21" i="96" s="1"/>
  <c r="L41" i="123"/>
  <c r="H41" s="1"/>
  <c r="G41" s="1"/>
  <c r="G24"/>
  <c r="G21" s="1"/>
  <c r="V13"/>
  <c r="O33"/>
  <c r="V33"/>
  <c r="R54"/>
  <c r="Q58"/>
  <c r="Q54" s="1"/>
  <c r="Q12" s="1"/>
  <c r="U58"/>
  <c r="U54" s="1"/>
  <c r="H68"/>
  <c r="G71"/>
  <c r="V70"/>
  <c r="F77"/>
  <c r="F74" s="1"/>
  <c r="F70" s="1"/>
  <c r="D170" i="94"/>
  <c r="J12" i="128"/>
  <c r="J10" s="1"/>
  <c r="J9" s="1"/>
  <c r="K15"/>
  <c r="K13" s="1"/>
  <c r="K9" s="1"/>
  <c r="D15"/>
  <c r="D13" s="1"/>
  <c r="C73"/>
  <c r="AA15" i="119"/>
  <c r="O11" i="96"/>
  <c r="C11" s="1"/>
  <c r="M12" i="94"/>
  <c r="E17" i="122"/>
  <c r="C21"/>
  <c r="K27"/>
  <c r="K16" s="1"/>
  <c r="G36"/>
  <c r="K36"/>
  <c r="AT63"/>
  <c r="F63"/>
  <c r="C63" s="1"/>
  <c r="C73"/>
  <c r="G72"/>
  <c r="J72"/>
  <c r="J16" s="1"/>
  <c r="E72"/>
  <c r="C72" s="1"/>
  <c r="J13" i="123"/>
  <c r="T33"/>
  <c r="O143" i="94"/>
  <c r="R33" i="123"/>
  <c r="R12" s="1"/>
  <c r="O54"/>
  <c r="W54"/>
  <c r="H59"/>
  <c r="S70"/>
  <c r="W70"/>
  <c r="W12" s="1"/>
  <c r="H84"/>
  <c r="K10" i="128"/>
  <c r="E17"/>
  <c r="C17" s="1"/>
  <c r="C38"/>
  <c r="H36"/>
  <c r="H16" s="1"/>
  <c r="C60"/>
  <c r="J72"/>
  <c r="H72"/>
  <c r="C19" i="96"/>
  <c r="S18" i="94"/>
  <c r="S10" s="1"/>
  <c r="Q15" i="96"/>
  <c r="Q10" s="1"/>
  <c r="K210" i="94"/>
  <c r="K202" s="1"/>
  <c r="K143"/>
  <c r="E26"/>
  <c r="S27"/>
  <c r="E233"/>
  <c r="I13"/>
  <c r="O26" i="96"/>
  <c r="C26" s="1"/>
  <c r="G12" i="94"/>
  <c r="E11" i="96" s="1"/>
  <c r="I12" i="94"/>
  <c r="K12"/>
  <c r="E143"/>
  <c r="E21"/>
  <c r="S192"/>
  <c r="S9" s="1"/>
  <c r="Q8" i="96" s="1"/>
  <c r="R30" s="1"/>
  <c r="O12" i="94"/>
  <c r="Q24" i="96"/>
  <c r="Q22" s="1"/>
  <c r="I211" i="94"/>
  <c r="I210" s="1"/>
  <c r="I202" s="1"/>
  <c r="I22" i="96"/>
  <c r="J23" s="1"/>
  <c r="E15" i="94"/>
  <c r="N10"/>
  <c r="N8" s="1"/>
  <c r="C17" i="96"/>
  <c r="C24"/>
  <c r="C29"/>
  <c r="R10" i="94"/>
  <c r="R8" s="1"/>
  <c r="J25" i="96"/>
  <c r="E12" i="94"/>
  <c r="S29"/>
  <c r="C12" i="96"/>
  <c r="E13" i="94"/>
  <c r="AC18" i="109"/>
  <c r="E211" i="94"/>
  <c r="H10"/>
  <c r="H8" s="1"/>
  <c r="E212"/>
  <c r="G22" i="96"/>
  <c r="H26" s="1"/>
  <c r="E22" i="94"/>
  <c r="E11"/>
  <c r="E256"/>
  <c r="M210"/>
  <c r="M202" s="1"/>
  <c r="E229"/>
  <c r="M181"/>
  <c r="E181" s="1"/>
  <c r="E183"/>
  <c r="F27" i="109"/>
  <c r="AD27" s="1"/>
  <c r="F82" i="116"/>
  <c r="AK87"/>
  <c r="X59" i="119"/>
  <c r="L58"/>
  <c r="M25" i="111"/>
  <c r="G27"/>
  <c r="AF54" i="119"/>
  <c r="AG54" s="1"/>
  <c r="X54"/>
  <c r="O22" i="96"/>
  <c r="P23" s="1"/>
  <c r="L30" i="119"/>
  <c r="L80" i="123"/>
  <c r="L74" s="1"/>
  <c r="L70" s="1"/>
  <c r="H81"/>
  <c r="H42"/>
  <c r="Q17" i="111"/>
  <c r="C10" i="122"/>
  <c r="AD16"/>
  <c r="AD12"/>
  <c r="AG10"/>
  <c r="AH65" i="119"/>
  <c r="J10" i="111"/>
  <c r="M18" i="94"/>
  <c r="M15" i="96"/>
  <c r="M35" i="123"/>
  <c r="L17" i="109"/>
  <c r="L64" i="119"/>
  <c r="F58" i="116"/>
  <c r="AJ58"/>
  <c r="D26" i="76"/>
  <c r="K13" i="104"/>
  <c r="R17" i="119"/>
  <c r="S17" s="1"/>
  <c r="L15"/>
  <c r="X16"/>
  <c r="I116" i="94"/>
  <c r="E116" s="1"/>
  <c r="AJ42" i="116"/>
  <c r="F42"/>
  <c r="D19" i="76"/>
  <c r="E33"/>
  <c r="I55" i="94"/>
  <c r="I30" s="1"/>
  <c r="I11" i="104"/>
  <c r="G28" i="111"/>
  <c r="I31"/>
  <c r="E61" i="109"/>
  <c r="K140" i="94" s="1"/>
  <c r="R12" i="116"/>
  <c r="K47" i="94"/>
  <c r="M15" i="111"/>
  <c r="AH66" i="119"/>
  <c r="L22"/>
  <c r="X23"/>
  <c r="F89" i="116"/>
  <c r="AK89" s="1"/>
  <c r="G9" i="76"/>
  <c r="AF19"/>
  <c r="AF9" s="1"/>
  <c r="M14"/>
  <c r="L13"/>
  <c r="D13" s="1"/>
  <c r="H25" i="104"/>
  <c r="H11" s="1"/>
  <c r="E56"/>
  <c r="E55" s="1"/>
  <c r="E80" i="94"/>
  <c r="G9" i="121"/>
  <c r="E9" s="1"/>
  <c r="AK30" i="116"/>
  <c r="AJ30"/>
  <c r="F55" i="104"/>
  <c r="E70"/>
  <c r="I78"/>
  <c r="O11" i="109"/>
  <c r="O10" s="1"/>
  <c r="E119" i="94"/>
  <c r="M121"/>
  <c r="K58" i="123"/>
  <c r="K54" s="1"/>
  <c r="C27" i="122"/>
  <c r="Q36" i="94"/>
  <c r="AJ89" i="116"/>
  <c r="AH62" i="119"/>
  <c r="J37" i="111"/>
  <c r="E32" i="104"/>
  <c r="E25" s="1"/>
  <c r="E11" s="1"/>
  <c r="F40"/>
  <c r="E75"/>
  <c r="E74" s="1"/>
  <c r="F49" i="105"/>
  <c r="F8" s="1"/>
  <c r="E50"/>
  <c r="F99" i="109"/>
  <c r="E101"/>
  <c r="E99" s="1"/>
  <c r="O114" i="94"/>
  <c r="E114" s="1"/>
  <c r="I84"/>
  <c r="G86" i="104"/>
  <c r="G70" s="1"/>
  <c r="Q13" i="103"/>
  <c r="R13" s="1"/>
  <c r="P11"/>
  <c r="G102" i="94"/>
  <c r="G28" s="1"/>
  <c r="E21" i="96" s="1"/>
  <c r="E33" i="105"/>
  <c r="E86" i="109"/>
  <c r="E81" s="1"/>
  <c r="F81"/>
  <c r="F72" i="108"/>
  <c r="E72" s="1"/>
  <c r="M153" i="94" s="1"/>
  <c r="M124" s="1"/>
  <c r="G68" i="108"/>
  <c r="F68" s="1"/>
  <c r="E68" s="1"/>
  <c r="M155" i="94"/>
  <c r="K112" i="108"/>
  <c r="E113"/>
  <c r="M120"/>
  <c r="M112" s="1"/>
  <c r="M139"/>
  <c r="M136" s="1"/>
  <c r="E142"/>
  <c r="Q13" i="76"/>
  <c r="Q12" s="1"/>
  <c r="Q9" s="1"/>
  <c r="G11" i="103"/>
  <c r="V17"/>
  <c r="W17" s="1"/>
  <c r="Y17"/>
  <c r="I78" i="94"/>
  <c r="I27" s="1"/>
  <c r="G30" i="96" s="1"/>
  <c r="I77" i="94"/>
  <c r="E51" i="105"/>
  <c r="G232" i="94" s="1"/>
  <c r="E232" s="1"/>
  <c r="P49" i="105"/>
  <c r="AC35" i="111"/>
  <c r="M37"/>
  <c r="M31" s="1"/>
  <c r="G38"/>
  <c r="P22" i="105"/>
  <c r="E21"/>
  <c r="E11" s="1"/>
  <c r="K22"/>
  <c r="F64" i="108"/>
  <c r="E64" s="1"/>
  <c r="G52"/>
  <c r="M85"/>
  <c r="E85" s="1"/>
  <c r="M48" i="94" s="1"/>
  <c r="M49"/>
  <c r="M25" s="1"/>
  <c r="K23" i="96" s="1"/>
  <c r="Q39" i="111"/>
  <c r="N39" s="1"/>
  <c r="AC39"/>
  <c r="F39"/>
  <c r="AD39" s="1"/>
  <c r="AC36"/>
  <c r="F36"/>
  <c r="Q77" i="94"/>
  <c r="Q78"/>
  <c r="V12" i="116"/>
  <c r="V16" i="103"/>
  <c r="N8" i="105"/>
  <c r="U11" i="109"/>
  <c r="U10" s="1"/>
  <c r="Y10" i="111"/>
  <c r="Y9" s="1"/>
  <c r="J23"/>
  <c r="N66" i="109"/>
  <c r="N36" s="1"/>
  <c r="Q79"/>
  <c r="F71" i="116"/>
  <c r="AK71" s="1"/>
  <c r="O52" i="94"/>
  <c r="Z9" i="111"/>
  <c r="G66" i="109"/>
  <c r="F66" s="1"/>
  <c r="L52" i="108"/>
  <c r="L41" s="1"/>
  <c r="L115"/>
  <c r="I120"/>
  <c r="I112" s="1"/>
  <c r="F130"/>
  <c r="E130" s="1"/>
  <c r="F11" i="111"/>
  <c r="V21"/>
  <c r="V9" s="1"/>
  <c r="Q38" i="109"/>
  <c r="Q36" s="1"/>
  <c r="K79"/>
  <c r="G82" i="108"/>
  <c r="E87"/>
  <c r="E145"/>
  <c r="I6" i="115"/>
  <c r="AB12" i="116"/>
  <c r="AB10" s="1"/>
  <c r="F101" i="104"/>
  <c r="F100" s="1"/>
  <c r="M11" i="105"/>
  <c r="M26"/>
  <c r="F25" i="109"/>
  <c r="W21" i="111"/>
  <c r="W9" s="1"/>
  <c r="L79" i="109"/>
  <c r="E48" i="108"/>
  <c r="E119"/>
  <c r="S36" i="109"/>
  <c r="U42"/>
  <c r="U38" s="1"/>
  <c r="R48"/>
  <c r="R36" s="1"/>
  <c r="K16" i="108"/>
  <c r="K5" s="1"/>
  <c r="G6" i="115"/>
  <c r="AJ64" i="116"/>
  <c r="F64"/>
  <c r="AK64" s="1"/>
  <c r="T77"/>
  <c r="T76" s="1"/>
  <c r="T11" s="1"/>
  <c r="T10" s="1"/>
  <c r="AF77"/>
  <c r="AF76" s="1"/>
  <c r="AF11" s="1"/>
  <c r="F36" i="122"/>
  <c r="N70" i="123"/>
  <c r="M77" i="116"/>
  <c r="M76" s="1"/>
  <c r="H41" i="117"/>
  <c r="H7" s="1"/>
  <c r="AF44" i="119"/>
  <c r="AG44" s="1"/>
  <c r="AN63" i="128"/>
  <c r="E28" i="96"/>
  <c r="Z38" i="116"/>
  <c r="Z37" s="1"/>
  <c r="Z11" s="1"/>
  <c r="E68"/>
  <c r="W22"/>
  <c r="W20" s="1"/>
  <c r="W12" s="1"/>
  <c r="W82"/>
  <c r="W77" s="1"/>
  <c r="W76" s="1"/>
  <c r="W11" s="1"/>
  <c r="H65" i="117"/>
  <c r="Z45" i="116"/>
  <c r="G77"/>
  <c r="H43" i="119"/>
  <c r="H42" s="1"/>
  <c r="H29" s="1"/>
  <c r="H28" s="1"/>
  <c r="H12" s="1"/>
  <c r="I44"/>
  <c r="I43" s="1"/>
  <c r="I42" s="1"/>
  <c r="O124" i="94"/>
  <c r="C37" i="128"/>
  <c r="M199" i="94"/>
  <c r="D37" i="122"/>
  <c r="S49" i="123"/>
  <c r="S33" s="1"/>
  <c r="P59"/>
  <c r="I37" i="128"/>
  <c r="K40"/>
  <c r="J42" i="123"/>
  <c r="J33" s="1"/>
  <c r="J12" s="1"/>
  <c r="L36"/>
  <c r="L35" s="1"/>
  <c r="G52"/>
  <c r="H92"/>
  <c r="J27" i="128"/>
  <c r="D63"/>
  <c r="C63" s="1"/>
  <c r="O199" i="94"/>
  <c r="I53" i="123"/>
  <c r="D27" i="128"/>
  <c r="L37"/>
  <c r="I32" i="123"/>
  <c r="C11" i="128"/>
  <c r="C47"/>
  <c r="I22" i="119"/>
  <c r="I21" s="1"/>
  <c r="AF24"/>
  <c r="AG24" s="1"/>
  <c r="P19" i="123"/>
  <c r="H82"/>
  <c r="G82" s="1"/>
  <c r="L65" l="1"/>
  <c r="L58" s="1"/>
  <c r="L54" s="1"/>
  <c r="H66"/>
  <c r="Q18" i="111"/>
  <c r="N18" s="1"/>
  <c r="AC18" s="1"/>
  <c r="F18"/>
  <c r="AD18" s="1"/>
  <c r="N28" i="119"/>
  <c r="N12" s="1"/>
  <c r="Q12" s="1"/>
  <c r="E136" i="108"/>
  <c r="D16" i="128"/>
  <c r="W10" i="116"/>
  <c r="D9" i="128"/>
  <c r="AD10"/>
  <c r="AH32" i="116"/>
  <c r="AK32"/>
  <c r="M54" i="94"/>
  <c r="M53"/>
  <c r="K38" i="123"/>
  <c r="K33" s="1"/>
  <c r="AJ46" i="116"/>
  <c r="AK46"/>
  <c r="E45"/>
  <c r="E21"/>
  <c r="AG71" i="119"/>
  <c r="AH71"/>
  <c r="Z15" i="103"/>
  <c r="X15"/>
  <c r="Q16" i="94"/>
  <c r="O13" i="96"/>
  <c r="E93" i="108"/>
  <c r="E69" i="94"/>
  <c r="J16" i="128"/>
  <c r="S12" i="123"/>
  <c r="H36"/>
  <c r="AJ45" i="116"/>
  <c r="K4" i="108"/>
  <c r="V11" i="103"/>
  <c r="G11" i="104"/>
  <c r="J24" i="96"/>
  <c r="G84" i="123"/>
  <c r="G83" s="1"/>
  <c r="H83"/>
  <c r="C17" i="122"/>
  <c r="E16"/>
  <c r="G68" i="123"/>
  <c r="G67" s="1"/>
  <c r="H67"/>
  <c r="O104" i="94"/>
  <c r="T12" i="123"/>
  <c r="H93"/>
  <c r="G93" s="1"/>
  <c r="I11" i="116"/>
  <c r="X44" i="119"/>
  <c r="L43"/>
  <c r="E82" i="116"/>
  <c r="AJ82" s="1"/>
  <c r="AK83"/>
  <c r="AJ83"/>
  <c r="L40" i="123"/>
  <c r="L38" s="1"/>
  <c r="Q40" i="111"/>
  <c r="N40" s="1"/>
  <c r="AC40"/>
  <c r="F40"/>
  <c r="AD40" s="1"/>
  <c r="E159" i="94"/>
  <c r="G124"/>
  <c r="C13" i="122"/>
  <c r="E16" i="128"/>
  <c r="C16" s="1"/>
  <c r="J25" i="111"/>
  <c r="K21"/>
  <c r="K9" s="1"/>
  <c r="G48" i="109"/>
  <c r="F48" s="1"/>
  <c r="M97" i="94"/>
  <c r="L33" i="123"/>
  <c r="R10" i="116"/>
  <c r="C9" i="122"/>
  <c r="AF10" i="116"/>
  <c r="C72" i="128"/>
  <c r="I29" i="119"/>
  <c r="I28" s="1"/>
  <c r="Z10" i="116"/>
  <c r="V10"/>
  <c r="C12" i="128"/>
  <c r="C27"/>
  <c r="M17" i="123"/>
  <c r="N15"/>
  <c r="N13" s="1"/>
  <c r="N12" s="1"/>
  <c r="G69" i="119"/>
  <c r="G68" s="1"/>
  <c r="AG70"/>
  <c r="L9" i="128"/>
  <c r="U20" i="116"/>
  <c r="U12" s="1"/>
  <c r="M40" i="123"/>
  <c r="M38" s="1"/>
  <c r="M33" s="1"/>
  <c r="P38"/>
  <c r="P33" s="1"/>
  <c r="P28" i="116"/>
  <c r="P24" s="1"/>
  <c r="P65"/>
  <c r="P38" s="1"/>
  <c r="P37" s="1"/>
  <c r="P11" s="1"/>
  <c r="AL8" s="1"/>
  <c r="E70"/>
  <c r="E65" s="1"/>
  <c r="F97" i="109"/>
  <c r="F96" s="1"/>
  <c r="F79" s="1"/>
  <c r="E98"/>
  <c r="E97" s="1"/>
  <c r="L68" i="119"/>
  <c r="AF68" s="1"/>
  <c r="AF69"/>
  <c r="P12" i="116"/>
  <c r="F80"/>
  <c r="F79" s="1"/>
  <c r="E79"/>
  <c r="V12" i="123"/>
  <c r="AD10" i="122"/>
  <c r="D9"/>
  <c r="G66" i="119"/>
  <c r="P65" i="123"/>
  <c r="P58" s="1"/>
  <c r="P54" s="1"/>
  <c r="M66"/>
  <c r="M65" s="1"/>
  <c r="M58" s="1"/>
  <c r="M54" s="1"/>
  <c r="E15" i="116"/>
  <c r="F41"/>
  <c r="AJ41"/>
  <c r="E40"/>
  <c r="AJ40" s="1"/>
  <c r="E25" i="96"/>
  <c r="G14" i="94"/>
  <c r="G194"/>
  <c r="L20" i="123"/>
  <c r="O108" i="94" s="1"/>
  <c r="O113"/>
  <c r="E113" s="1"/>
  <c r="K18" i="123"/>
  <c r="K13" s="1"/>
  <c r="K12" s="1"/>
  <c r="I13" i="96"/>
  <c r="K16" i="94"/>
  <c r="E16" s="1"/>
  <c r="K107"/>
  <c r="K87" s="1"/>
  <c r="G5" i="108"/>
  <c r="F5" s="1"/>
  <c r="E5" s="1"/>
  <c r="F16"/>
  <c r="I26" i="119"/>
  <c r="I25" s="1"/>
  <c r="I20" s="1"/>
  <c r="I13" s="1"/>
  <c r="I12" s="1"/>
  <c r="G27"/>
  <c r="U11" i="116"/>
  <c r="H120" i="108"/>
  <c r="H112" s="1"/>
  <c r="H4" s="1"/>
  <c r="F121"/>
  <c r="E121" s="1"/>
  <c r="I10" i="116"/>
  <c r="G13"/>
  <c r="G12" s="1"/>
  <c r="AJ78"/>
  <c r="G30" i="111"/>
  <c r="H29"/>
  <c r="F22" i="109"/>
  <c r="AD22" s="1"/>
  <c r="AC22"/>
  <c r="N21"/>
  <c r="N11" s="1"/>
  <c r="N10" s="1"/>
  <c r="K136" i="94"/>
  <c r="K28" s="1"/>
  <c r="I21" i="96" s="1"/>
  <c r="M249" i="94"/>
  <c r="M28" s="1"/>
  <c r="K21" i="96" s="1"/>
  <c r="E248" i="94"/>
  <c r="E103" i="109"/>
  <c r="E102" s="1"/>
  <c r="E96" s="1"/>
  <c r="E79" s="1"/>
  <c r="F102"/>
  <c r="AD20"/>
  <c r="F17"/>
  <c r="AD17" s="1"/>
  <c r="R16" i="96"/>
  <c r="R14"/>
  <c r="R15"/>
  <c r="R23"/>
  <c r="R26"/>
  <c r="R25"/>
  <c r="R24"/>
  <c r="J26"/>
  <c r="H25"/>
  <c r="R21"/>
  <c r="R19"/>
  <c r="R13"/>
  <c r="R8"/>
  <c r="R29"/>
  <c r="Q9"/>
  <c r="R28"/>
  <c r="S8" i="94"/>
  <c r="H23" i="96"/>
  <c r="H24"/>
  <c r="E48" i="94"/>
  <c r="AJ68" i="116"/>
  <c r="F68"/>
  <c r="E27"/>
  <c r="AD11" i="111"/>
  <c r="K21" i="105"/>
  <c r="K11" s="1"/>
  <c r="K8" s="1"/>
  <c r="G49" i="94"/>
  <c r="G25" s="1"/>
  <c r="R11" i="105"/>
  <c r="E8"/>
  <c r="G52" i="94"/>
  <c r="R11" i="103"/>
  <c r="S13"/>
  <c r="E153" i="94"/>
  <c r="E140"/>
  <c r="K124"/>
  <c r="E55"/>
  <c r="AK82" i="116"/>
  <c r="F77"/>
  <c r="G76"/>
  <c r="O198" i="94"/>
  <c r="O192" s="1"/>
  <c r="O14"/>
  <c r="M25" i="96"/>
  <c r="I18" i="94"/>
  <c r="G15" i="96"/>
  <c r="G10" s="1"/>
  <c r="E49" i="105"/>
  <c r="R49" s="1"/>
  <c r="G36" i="94"/>
  <c r="AF22" i="119"/>
  <c r="AG22" s="1"/>
  <c r="L21"/>
  <c r="X22"/>
  <c r="E139" i="108"/>
  <c r="I87" i="94"/>
  <c r="H74" i="123"/>
  <c r="H70" s="1"/>
  <c r="G81"/>
  <c r="G74" s="1"/>
  <c r="G70" s="1"/>
  <c r="L57" i="119"/>
  <c r="X58"/>
  <c r="AF58"/>
  <c r="AG58" s="1"/>
  <c r="AF10" i="128"/>
  <c r="G92" i="123"/>
  <c r="G88" s="1"/>
  <c r="G86" s="1"/>
  <c r="H88"/>
  <c r="H86" s="1"/>
  <c r="E115" i="108"/>
  <c r="L112"/>
  <c r="L4" s="1"/>
  <c r="G23" i="111"/>
  <c r="J21"/>
  <c r="Q38"/>
  <c r="Q44" i="94"/>
  <c r="Y11" i="103"/>
  <c r="AK58" i="116"/>
  <c r="F57"/>
  <c r="E42" i="109"/>
  <c r="Q27" i="111"/>
  <c r="C28" i="96"/>
  <c r="AD25" i="109"/>
  <c r="F21"/>
  <c r="G79" i="108"/>
  <c r="F79" s="1"/>
  <c r="F82"/>
  <c r="O15" i="96"/>
  <c r="Q18" i="94"/>
  <c r="X17" i="103"/>
  <c r="Z17"/>
  <c r="I79" i="94"/>
  <c r="E79" s="1"/>
  <c r="E84"/>
  <c r="F11" i="104"/>
  <c r="M13" i="76"/>
  <c r="E14"/>
  <c r="X15" i="119"/>
  <c r="L14"/>
  <c r="X64"/>
  <c r="AF64"/>
  <c r="AF30"/>
  <c r="AG30" s="1"/>
  <c r="X30"/>
  <c r="M21" i="111"/>
  <c r="G25"/>
  <c r="H32" i="123"/>
  <c r="I30"/>
  <c r="I13" s="1"/>
  <c r="K25" i="96"/>
  <c r="K22" s="1"/>
  <c r="M14" i="94"/>
  <c r="M198"/>
  <c r="F16" i="122"/>
  <c r="C16" s="1"/>
  <c r="C36"/>
  <c r="U36" i="109"/>
  <c r="E38"/>
  <c r="E66"/>
  <c r="M82" i="108"/>
  <c r="M79" s="1"/>
  <c r="M4" s="1"/>
  <c r="M50" i="94"/>
  <c r="G15" i="111"/>
  <c r="M10"/>
  <c r="L11" i="109"/>
  <c r="L10" s="1"/>
  <c r="J17"/>
  <c r="Q11" i="103"/>
  <c r="J9" i="111"/>
  <c r="M8" i="105"/>
  <c r="G41" i="108"/>
  <c r="F52"/>
  <c r="E52" s="1"/>
  <c r="G97" i="94"/>
  <c r="G37" i="111"/>
  <c r="K27" i="94"/>
  <c r="P25" i="96"/>
  <c r="P24"/>
  <c r="P26"/>
  <c r="H65" i="123"/>
  <c r="H58" s="1"/>
  <c r="H54" s="1"/>
  <c r="G66"/>
  <c r="G65" s="1"/>
  <c r="G58" s="1"/>
  <c r="G54" s="1"/>
  <c r="G36" i="109"/>
  <c r="G210" i="94"/>
  <c r="F112" i="108"/>
  <c r="I4"/>
  <c r="G50" i="94"/>
  <c r="P21" i="105"/>
  <c r="P11" s="1"/>
  <c r="P8" s="1"/>
  <c r="Q28" i="111"/>
  <c r="N28" s="1"/>
  <c r="F28" s="1"/>
  <c r="AD28" s="1"/>
  <c r="AC28"/>
  <c r="L19" i="123"/>
  <c r="P18"/>
  <c r="P13" s="1"/>
  <c r="M19"/>
  <c r="I51"/>
  <c r="I33" s="1"/>
  <c r="H53"/>
  <c r="G36"/>
  <c r="G35" s="1"/>
  <c r="H35"/>
  <c r="O54" i="94"/>
  <c r="O53"/>
  <c r="W16" i="103"/>
  <c r="AD36" i="111"/>
  <c r="F33"/>
  <c r="M107" i="94"/>
  <c r="AK42" i="116"/>
  <c r="F16"/>
  <c r="AK16" s="1"/>
  <c r="F40"/>
  <c r="N17" i="111"/>
  <c r="Q15"/>
  <c r="Q10" s="1"/>
  <c r="E48" i="109"/>
  <c r="F36"/>
  <c r="E16" i="108"/>
  <c r="AD12" i="128" l="1"/>
  <c r="AG10"/>
  <c r="AD16"/>
  <c r="E14" i="116"/>
  <c r="AJ15"/>
  <c r="AH68" i="119"/>
  <c r="AG68"/>
  <c r="U10" i="116"/>
  <c r="M43" i="94"/>
  <c r="M30" s="1"/>
  <c r="M47"/>
  <c r="M27" s="1"/>
  <c r="K30" i="96" s="1"/>
  <c r="AJ21" i="116"/>
  <c r="AK21"/>
  <c r="E20"/>
  <c r="AJ20" s="1"/>
  <c r="AJ79"/>
  <c r="E77"/>
  <c r="AK79"/>
  <c r="C10" i="128"/>
  <c r="C9" s="1"/>
  <c r="I10" i="96"/>
  <c r="C13"/>
  <c r="P12" i="123"/>
  <c r="AC21" i="109"/>
  <c r="H20" i="123"/>
  <c r="G20" s="1"/>
  <c r="E194" i="94"/>
  <c r="G192"/>
  <c r="G17" i="123"/>
  <c r="G15" s="1"/>
  <c r="M15"/>
  <c r="H40"/>
  <c r="F30" i="111"/>
  <c r="AC30"/>
  <c r="AH69" i="119"/>
  <c r="AG69"/>
  <c r="F70" i="116"/>
  <c r="F28" s="1"/>
  <c r="AK70"/>
  <c r="E28"/>
  <c r="AJ70"/>
  <c r="E112" i="108"/>
  <c r="F120"/>
  <c r="E120" s="1"/>
  <c r="H21" i="111"/>
  <c r="H9" s="1"/>
  <c r="G29"/>
  <c r="AC29" s="1"/>
  <c r="G26" i="119"/>
  <c r="AG27"/>
  <c r="AK41" i="116"/>
  <c r="F15"/>
  <c r="F14" s="1"/>
  <c r="G65" i="119"/>
  <c r="AG66"/>
  <c r="P10" i="116"/>
  <c r="X43" i="119"/>
  <c r="L42"/>
  <c r="AF43"/>
  <c r="AG43" s="1"/>
  <c r="M17" i="94"/>
  <c r="K14" i="96"/>
  <c r="K10" s="1"/>
  <c r="I29" i="94"/>
  <c r="I9" s="1"/>
  <c r="G8" i="96" s="1"/>
  <c r="R22"/>
  <c r="R9"/>
  <c r="R10"/>
  <c r="L26"/>
  <c r="L24"/>
  <c r="L23"/>
  <c r="Q43" i="94"/>
  <c r="Q30" s="1"/>
  <c r="Q29" s="1"/>
  <c r="Q9" s="1"/>
  <c r="Q47"/>
  <c r="Q27" s="1"/>
  <c r="O30" i="96" s="1"/>
  <c r="M192" i="94"/>
  <c r="E192" s="1"/>
  <c r="E198"/>
  <c r="F45" i="116"/>
  <c r="AK45" s="1"/>
  <c r="F22"/>
  <c r="AK57"/>
  <c r="E18" i="94"/>
  <c r="I10"/>
  <c r="G54"/>
  <c r="E54" s="1"/>
  <c r="E52"/>
  <c r="G53"/>
  <c r="AJ27" i="116"/>
  <c r="F76"/>
  <c r="E107" i="94"/>
  <c r="M87"/>
  <c r="G31" i="111"/>
  <c r="E14" i="94"/>
  <c r="G21" i="111"/>
  <c r="AC23"/>
  <c r="F27" i="116"/>
  <c r="F24" s="1"/>
  <c r="F65"/>
  <c r="AK65" s="1"/>
  <c r="N38" i="111"/>
  <c r="Q37"/>
  <c r="Q31" s="1"/>
  <c r="H51" i="123"/>
  <c r="G53"/>
  <c r="G51" s="1"/>
  <c r="AD33" i="111"/>
  <c r="G27" i="94"/>
  <c r="C25" i="96"/>
  <c r="L25"/>
  <c r="M12" i="76"/>
  <c r="M9" s="1"/>
  <c r="E9" s="1"/>
  <c r="E13"/>
  <c r="E12" s="1"/>
  <c r="X57" i="119"/>
  <c r="AF57"/>
  <c r="M22" i="96"/>
  <c r="AK68" i="116"/>
  <c r="C15" i="96"/>
  <c r="H15"/>
  <c r="J11" i="109"/>
  <c r="J10" s="1"/>
  <c r="G17"/>
  <c r="E36"/>
  <c r="I12" i="123"/>
  <c r="AH64" i="119"/>
  <c r="X21"/>
  <c r="AF21"/>
  <c r="AG21" s="1"/>
  <c r="L20"/>
  <c r="L13" s="1"/>
  <c r="E124" i="94"/>
  <c r="K29"/>
  <c r="K9" s="1"/>
  <c r="E23" i="96"/>
  <c r="E25" i="94"/>
  <c r="O102"/>
  <c r="E102" s="1"/>
  <c r="M18" i="123"/>
  <c r="G87" i="94"/>
  <c r="G32" i="123"/>
  <c r="G30" s="1"/>
  <c r="H30"/>
  <c r="E82" i="108"/>
  <c r="E44" i="94"/>
  <c r="O14" i="96"/>
  <c r="O10" s="1"/>
  <c r="Q17" i="94"/>
  <c r="Q10" s="1"/>
  <c r="AJ65" i="116"/>
  <c r="E38"/>
  <c r="M14" i="96"/>
  <c r="O17" i="94"/>
  <c r="L18" i="123"/>
  <c r="L13" s="1"/>
  <c r="L12" s="1"/>
  <c r="O98" i="94"/>
  <c r="O28" s="1"/>
  <c r="H19" i="123"/>
  <c r="M9" i="111"/>
  <c r="X14" i="119"/>
  <c r="E79" i="108"/>
  <c r="N27" i="111"/>
  <c r="Q25"/>
  <c r="Q21" s="1"/>
  <c r="Q9" s="1"/>
  <c r="G30" i="94"/>
  <c r="E36"/>
  <c r="M29"/>
  <c r="I30" i="96"/>
  <c r="K10" i="94"/>
  <c r="N15" i="111"/>
  <c r="N10" s="1"/>
  <c r="AC17"/>
  <c r="F17"/>
  <c r="X16" i="103"/>
  <c r="Z16"/>
  <c r="W11"/>
  <c r="G202" i="94"/>
  <c r="E202" s="1"/>
  <c r="E210"/>
  <c r="F38" i="116"/>
  <c r="F37" s="1"/>
  <c r="AK40"/>
  <c r="G4" i="108"/>
  <c r="F4" s="1"/>
  <c r="E4" s="1"/>
  <c r="F41"/>
  <c r="E41" s="1"/>
  <c r="G10" i="111"/>
  <c r="AD21" i="109"/>
  <c r="F11"/>
  <c r="G11" i="116"/>
  <c r="M10" i="94" l="1"/>
  <c r="AH28" i="116"/>
  <c r="AJ28"/>
  <c r="AK28"/>
  <c r="M13" i="123"/>
  <c r="M12" s="1"/>
  <c r="E24" i="116"/>
  <c r="J21" i="96"/>
  <c r="J16"/>
  <c r="I9"/>
  <c r="J13"/>
  <c r="J15"/>
  <c r="J14"/>
  <c r="J19"/>
  <c r="J11"/>
  <c r="J17"/>
  <c r="E76" i="116"/>
  <c r="AJ76" s="1"/>
  <c r="AJ77"/>
  <c r="AK27"/>
  <c r="X42" i="119"/>
  <c r="AF42"/>
  <c r="AG42" s="1"/>
  <c r="L29"/>
  <c r="G64"/>
  <c r="AG65"/>
  <c r="G25"/>
  <c r="AG26"/>
  <c r="AD30" i="111"/>
  <c r="F29"/>
  <c r="AD29" s="1"/>
  <c r="AK15" i="116"/>
  <c r="AK14"/>
  <c r="AH14"/>
  <c r="AJ14"/>
  <c r="F11"/>
  <c r="AK77"/>
  <c r="H38" i="123"/>
  <c r="H33" s="1"/>
  <c r="G40"/>
  <c r="G38" s="1"/>
  <c r="G33" s="1"/>
  <c r="I8" i="94"/>
  <c r="O97"/>
  <c r="M21" i="96"/>
  <c r="M10" s="1"/>
  <c r="M9" i="94"/>
  <c r="K8" i="96" s="1"/>
  <c r="X13" i="119"/>
  <c r="N37" i="111"/>
  <c r="F38"/>
  <c r="AC38"/>
  <c r="N26" i="96"/>
  <c r="N24"/>
  <c r="N23"/>
  <c r="E30"/>
  <c r="E53" i="94"/>
  <c r="E14" i="96"/>
  <c r="E10" s="1"/>
  <c r="G17" i="94"/>
  <c r="O8" i="96"/>
  <c r="P30" s="1"/>
  <c r="Q8" i="94"/>
  <c r="F20" i="116"/>
  <c r="AK22"/>
  <c r="AH22"/>
  <c r="L15" i="96"/>
  <c r="L11"/>
  <c r="L19"/>
  <c r="L16"/>
  <c r="L13"/>
  <c r="K9"/>
  <c r="L14"/>
  <c r="AC15" i="111"/>
  <c r="AJ38" i="116"/>
  <c r="AK38"/>
  <c r="E37"/>
  <c r="N25" i="96"/>
  <c r="L21"/>
  <c r="G11" i="109"/>
  <c r="AC17"/>
  <c r="AC10" i="111"/>
  <c r="G9"/>
  <c r="E22" i="96"/>
  <c r="F23" s="1"/>
  <c r="C23"/>
  <c r="X20" i="119"/>
  <c r="AF20"/>
  <c r="Q14"/>
  <c r="AL7" i="116"/>
  <c r="G10"/>
  <c r="O43" i="94"/>
  <c r="O47"/>
  <c r="G29"/>
  <c r="G19" i="123"/>
  <c r="G18" s="1"/>
  <c r="G13" s="1"/>
  <c r="G12" s="1"/>
  <c r="H18"/>
  <c r="H13" s="1"/>
  <c r="H12" s="1"/>
  <c r="I8" i="96"/>
  <c r="K8" i="94"/>
  <c r="H16" i="96"/>
  <c r="H19"/>
  <c r="G9"/>
  <c r="H11"/>
  <c r="H21"/>
  <c r="H14"/>
  <c r="AD17" i="111"/>
  <c r="F15"/>
  <c r="F10" i="109"/>
  <c r="AD10" s="1"/>
  <c r="AD11"/>
  <c r="N25" i="111"/>
  <c r="AC27"/>
  <c r="F27"/>
  <c r="P14" i="96"/>
  <c r="H8"/>
  <c r="H29"/>
  <c r="H28"/>
  <c r="H30"/>
  <c r="AK24" i="116"/>
  <c r="E12"/>
  <c r="AJ24"/>
  <c r="J22" i="96" l="1"/>
  <c r="J10"/>
  <c r="M8" i="94"/>
  <c r="G57" i="119"/>
  <c r="AG64"/>
  <c r="AK76" i="116"/>
  <c r="P14" i="119"/>
  <c r="AF29"/>
  <c r="AG29" s="1"/>
  <c r="L28"/>
  <c r="X29"/>
  <c r="AG25"/>
  <c r="G20"/>
  <c r="AG20" s="1"/>
  <c r="C21" i="96"/>
  <c r="N14"/>
  <c r="N21"/>
  <c r="C10"/>
  <c r="E28" i="94"/>
  <c r="O87"/>
  <c r="E87" s="1"/>
  <c r="E97"/>
  <c r="AD15" i="111"/>
  <c r="F10"/>
  <c r="O27" i="94"/>
  <c r="E47"/>
  <c r="G10" i="109"/>
  <c r="AC10" s="1"/>
  <c r="AC11"/>
  <c r="N31" i="111"/>
  <c r="AC31" s="1"/>
  <c r="AC37"/>
  <c r="E17" i="94"/>
  <c r="G10"/>
  <c r="O30"/>
  <c r="E43"/>
  <c r="F14" i="96"/>
  <c r="C14"/>
  <c r="P18"/>
  <c r="P11"/>
  <c r="P19"/>
  <c r="P21"/>
  <c r="P16"/>
  <c r="O9"/>
  <c r="P17"/>
  <c r="P13"/>
  <c r="P15"/>
  <c r="F26"/>
  <c r="F24"/>
  <c r="F25"/>
  <c r="C22"/>
  <c r="N21" i="111"/>
  <c r="AC25"/>
  <c r="L9" i="96"/>
  <c r="L22"/>
  <c r="N18"/>
  <c r="N19"/>
  <c r="N13"/>
  <c r="M9"/>
  <c r="N17"/>
  <c r="N16"/>
  <c r="N11"/>
  <c r="N15"/>
  <c r="J8"/>
  <c r="J28"/>
  <c r="J29"/>
  <c r="J9"/>
  <c r="J30"/>
  <c r="F12" i="116"/>
  <c r="F10" s="1"/>
  <c r="AH20"/>
  <c r="AH13" s="1"/>
  <c r="AH12" s="1"/>
  <c r="AK20"/>
  <c r="H9" i="96"/>
  <c r="H22"/>
  <c r="AD27" i="111"/>
  <c r="F25"/>
  <c r="L28" i="96"/>
  <c r="L8"/>
  <c r="L29"/>
  <c r="L30"/>
  <c r="AD38" i="111"/>
  <c r="F37"/>
  <c r="H10" i="96"/>
  <c r="G9" i="94"/>
  <c r="AJ37" i="116"/>
  <c r="E11"/>
  <c r="AK37"/>
  <c r="L10" i="96"/>
  <c r="P27"/>
  <c r="P8"/>
  <c r="P28"/>
  <c r="P29"/>
  <c r="G28" i="119" l="1"/>
  <c r="AG57"/>
  <c r="G13"/>
  <c r="S20"/>
  <c r="AF28"/>
  <c r="AG28" s="1"/>
  <c r="L12"/>
  <c r="X12" s="1"/>
  <c r="X28"/>
  <c r="N10" i="96"/>
  <c r="P10"/>
  <c r="AC21" i="111"/>
  <c r="N9"/>
  <c r="AC9" s="1"/>
  <c r="E8" i="96"/>
  <c r="G8" i="94"/>
  <c r="AJ12" i="116"/>
  <c r="D26" i="96"/>
  <c r="D24"/>
  <c r="D25"/>
  <c r="P9"/>
  <c r="P22"/>
  <c r="AK12" i="116"/>
  <c r="F16" i="96"/>
  <c r="F15"/>
  <c r="F11"/>
  <c r="F19"/>
  <c r="D20"/>
  <c r="E9"/>
  <c r="F21"/>
  <c r="AK11" i="116"/>
  <c r="AJ11"/>
  <c r="AH11"/>
  <c r="AH10" s="1"/>
  <c r="AD10" i="111"/>
  <c r="E10" i="116"/>
  <c r="N22" i="96"/>
  <c r="AD37" i="111"/>
  <c r="F31"/>
  <c r="AD31" s="1"/>
  <c r="AD25"/>
  <c r="F21"/>
  <c r="AD21" s="1"/>
  <c r="D23" i="96"/>
  <c r="O29" i="94"/>
  <c r="E30"/>
  <c r="M30" i="96"/>
  <c r="O10" i="94"/>
  <c r="E27"/>
  <c r="E10" s="1"/>
  <c r="S13" i="119" l="1"/>
  <c r="G12"/>
  <c r="S12" s="1"/>
  <c r="D14" i="96"/>
  <c r="C9"/>
  <c r="F9"/>
  <c r="F22"/>
  <c r="O9" i="94"/>
  <c r="E29"/>
  <c r="F10" i="96"/>
  <c r="C30"/>
  <c r="F9" i="111"/>
  <c r="AD9" s="1"/>
  <c r="D12" i="96"/>
  <c r="D11"/>
  <c r="D17"/>
  <c r="D18"/>
  <c r="D19"/>
  <c r="D16"/>
  <c r="D13"/>
  <c r="D15"/>
  <c r="D21"/>
  <c r="F8"/>
  <c r="F29"/>
  <c r="F28"/>
  <c r="F30"/>
  <c r="D10" l="1"/>
  <c r="O8" i="94"/>
  <c r="M8" i="96"/>
  <c r="E9" i="94"/>
  <c r="E8" s="1"/>
  <c r="D22" i="96"/>
  <c r="N8" l="1"/>
  <c r="N28"/>
  <c r="N29"/>
  <c r="N9"/>
  <c r="C8"/>
  <c r="N30"/>
  <c r="D8" l="1"/>
  <c r="D29"/>
  <c r="D27"/>
  <c r="D28"/>
  <c r="D9"/>
  <c r="D30"/>
</calcChain>
</file>

<file path=xl/comments1.xml><?xml version="1.0" encoding="utf-8"?>
<comments xmlns="http://schemas.openxmlformats.org/spreadsheetml/2006/main">
  <authors>
    <author>kien</author>
  </authors>
  <commentList>
    <comment ref="H27" authorId="0">
      <text>
        <r>
          <rPr>
            <b/>
            <sz val="9"/>
            <color indexed="81"/>
            <rFont val="Tahoma"/>
            <family val="2"/>
          </rPr>
          <t>kien:</t>
        </r>
        <r>
          <rPr>
            <sz val="9"/>
            <color indexed="81"/>
            <rFont val="Tahoma"/>
            <family val="2"/>
          </rPr>
          <t xml:space="preserve">
làm tròn số
</t>
        </r>
      </text>
    </comment>
    <comment ref="H210" authorId="0">
      <text>
        <r>
          <rPr>
            <b/>
            <sz val="9"/>
            <color indexed="81"/>
            <rFont val="Tahoma"/>
            <family val="2"/>
          </rPr>
          <t>kien:</t>
        </r>
        <r>
          <rPr>
            <sz val="9"/>
            <color indexed="81"/>
            <rFont val="Tahoma"/>
            <family val="2"/>
          </rPr>
          <t xml:space="preserve">
làm tròn số
</t>
        </r>
      </text>
    </comment>
  </commentList>
</comments>
</file>

<file path=xl/comments2.xml><?xml version="1.0" encoding="utf-8"?>
<comments xmlns="http://schemas.openxmlformats.org/spreadsheetml/2006/main">
  <authors>
    <author>Admin</author>
  </authors>
  <commentList>
    <comment ref="O41" authorId="0">
      <text>
        <r>
          <rPr>
            <b/>
            <sz val="9"/>
            <color indexed="81"/>
            <rFont val="Tahoma"/>
            <family val="2"/>
          </rPr>
          <t>Admin:</t>
        </r>
        <r>
          <rPr>
            <sz val="9"/>
            <color indexed="81"/>
            <rFont val="Tahoma"/>
            <family val="2"/>
          </rPr>
          <t xml:space="preserve">
Đề nghị cấp trong năm 2023, theo KH là năm 2024 mới cấp</t>
        </r>
      </text>
    </comment>
    <comment ref="U43" authorId="0">
      <text>
        <r>
          <rPr>
            <b/>
            <sz val="9"/>
            <color indexed="81"/>
            <rFont val="Tahoma"/>
            <family val="2"/>
          </rPr>
          <t>Admin:</t>
        </r>
        <r>
          <rPr>
            <sz val="9"/>
            <color indexed="81"/>
            <rFont val="Tahoma"/>
            <family val="2"/>
          </rPr>
          <t xml:space="preserve">
KH năm 2023</t>
        </r>
      </text>
    </comment>
    <comment ref="O44" authorId="0">
      <text>
        <r>
          <rPr>
            <b/>
            <sz val="9"/>
            <color indexed="81"/>
            <rFont val="Tahoma"/>
            <family val="2"/>
          </rPr>
          <t>Admin:</t>
        </r>
        <r>
          <rPr>
            <sz val="9"/>
            <color indexed="81"/>
            <rFont val="Tahoma"/>
            <family val="2"/>
          </rPr>
          <t xml:space="preserve">
Vốn KH năm 2024, đề nghị cấp năm 2023</t>
        </r>
      </text>
    </comment>
    <comment ref="O66" authorId="0">
      <text>
        <r>
          <rPr>
            <b/>
            <sz val="9"/>
            <color indexed="81"/>
            <rFont val="Tahoma"/>
            <family val="2"/>
          </rPr>
          <t>Admin:</t>
        </r>
        <r>
          <rPr>
            <sz val="9"/>
            <color indexed="81"/>
            <rFont val="Tahoma"/>
            <family val="2"/>
          </rPr>
          <t xml:space="preserve">
Cấp năm 2023 là 806 trđ, còn lại 1,194 tỷ KH cấp năm 2024. Đề nghị cấp trong năm 2023</t>
        </r>
      </text>
    </comment>
    <comment ref="X67" authorId="0">
      <text>
        <r>
          <rPr>
            <b/>
            <sz val="9"/>
            <color indexed="81"/>
            <rFont val="Tahoma"/>
            <family val="2"/>
          </rPr>
          <t>Admin:</t>
        </r>
        <r>
          <rPr>
            <sz val="9"/>
            <color indexed="81"/>
            <rFont val="Tahoma"/>
            <family val="2"/>
          </rPr>
          <t xml:space="preserve">
Do địa hình núi cao khó khăn về mặt bằng, nên khối lượng đào, đắp lớn trên 21.000 m3 đất</t>
        </r>
      </text>
    </comment>
    <comment ref="T68" authorId="0">
      <text>
        <r>
          <rPr>
            <b/>
            <sz val="9"/>
            <color indexed="81"/>
            <rFont val="Tahoma"/>
            <family val="2"/>
          </rPr>
          <t>Admin:</t>
        </r>
        <r>
          <rPr>
            <sz val="9"/>
            <color indexed="81"/>
            <rFont val="Tahoma"/>
            <family val="2"/>
          </rPr>
          <t xml:space="preserve">
Cấp năm 2023</t>
        </r>
      </text>
    </comment>
  </commentList>
</comments>
</file>

<file path=xl/comments3.xml><?xml version="1.0" encoding="utf-8"?>
<comments xmlns="http://schemas.openxmlformats.org/spreadsheetml/2006/main">
  <authors>
    <author>MayTinhDucDung</author>
  </authors>
  <commentList>
    <comment ref="T5" authorId="0">
      <text>
        <r>
          <rPr>
            <b/>
            <sz val="9"/>
            <color indexed="81"/>
            <rFont val="Tahoma"/>
            <family val="2"/>
          </rPr>
          <t>MayTinhDucDung:</t>
        </r>
        <r>
          <rPr>
            <sz val="9"/>
            <color indexed="81"/>
            <rFont val="Tahoma"/>
            <family val="2"/>
          </rPr>
          <t xml:space="preserve">
</t>
        </r>
      </text>
    </comment>
  </commentList>
</comments>
</file>

<file path=xl/comments4.xml><?xml version="1.0" encoding="utf-8"?>
<comments xmlns="http://schemas.openxmlformats.org/spreadsheetml/2006/main">
  <authors>
    <author>MayTinhDucDung</author>
  </authors>
  <commentList>
    <comment ref="T5" authorId="0">
      <text>
        <r>
          <rPr>
            <b/>
            <sz val="9"/>
            <color indexed="81"/>
            <rFont val="Tahoma"/>
            <family val="2"/>
          </rPr>
          <t>MayTinhDucDung:</t>
        </r>
        <r>
          <rPr>
            <sz val="9"/>
            <color indexed="81"/>
            <rFont val="Tahoma"/>
            <family val="2"/>
          </rPr>
          <t xml:space="preserve">
</t>
        </r>
      </text>
    </comment>
    <comment ref="H14" authorId="0">
      <text>
        <r>
          <rPr>
            <b/>
            <sz val="9"/>
            <color indexed="81"/>
            <rFont val="Tahoma"/>
            <family val="2"/>
          </rPr>
          <t>Đầu tư Sơn Phú</t>
        </r>
        <r>
          <rPr>
            <sz val="9"/>
            <color indexed="81"/>
            <rFont val="Tahoma"/>
            <family val="2"/>
          </rPr>
          <t xml:space="preserve">
</t>
        </r>
      </text>
    </comment>
    <comment ref="L14" authorId="0">
      <text>
        <r>
          <rPr>
            <b/>
            <sz val="9"/>
            <color indexed="81"/>
            <rFont val="Tahoma"/>
            <family val="2"/>
          </rPr>
          <t>Đầu tư Yên Phú</t>
        </r>
        <r>
          <rPr>
            <sz val="9"/>
            <color indexed="81"/>
            <rFont val="Tahoma"/>
            <family val="2"/>
          </rPr>
          <t xml:space="preserve">
</t>
        </r>
      </text>
    </comment>
    <comment ref="H19" authorId="0">
      <text>
        <r>
          <rPr>
            <b/>
            <sz val="9"/>
            <color indexed="81"/>
            <rFont val="Tahoma"/>
            <family val="2"/>
          </rPr>
          <t>Đầu tư Sơn Phú</t>
        </r>
      </text>
    </comment>
    <comment ref="L19" authorId="0">
      <text>
        <r>
          <rPr>
            <b/>
            <sz val="9"/>
            <color indexed="81"/>
            <rFont val="Tahoma"/>
            <family val="2"/>
          </rPr>
          <t>Đầu tư Yên Phú</t>
        </r>
        <r>
          <rPr>
            <sz val="9"/>
            <color indexed="81"/>
            <rFont val="Tahoma"/>
            <family val="2"/>
          </rPr>
          <t xml:space="preserve">
</t>
        </r>
      </text>
    </comment>
  </commentList>
</comments>
</file>

<file path=xl/sharedStrings.xml><?xml version="1.0" encoding="utf-8"?>
<sst xmlns="http://schemas.openxmlformats.org/spreadsheetml/2006/main" count="3463" uniqueCount="1248">
  <si>
    <t>Trường/CT</t>
  </si>
  <si>
    <t>ĐVT</t>
  </si>
  <si>
    <t>Trong đó</t>
  </si>
  <si>
    <t>Kinh tế và tổ chức sản xuất</t>
  </si>
  <si>
    <t>Đào tạo nghề cho lao động nông thôn</t>
  </si>
  <si>
    <t>Tổng số</t>
  </si>
  <si>
    <t>2.1</t>
  </si>
  <si>
    <t>2.2</t>
  </si>
  <si>
    <t>1.3</t>
  </si>
  <si>
    <t>Văn hoá - Xã hội - Y tế - Môi trường</t>
  </si>
  <si>
    <t>1.4</t>
  </si>
  <si>
    <t>TỔNG HỢP, CHI TIẾT KẾ HOẠCH, NHU CẦU VỐN
THỰC HIỆN CHƯƠNG TRÌNH MTQG XÂY DỰNG NÔNG THÔN MỚI TỈNH TUYÊN QUANG, NĂM 2016</t>
  </si>
  <si>
    <t>Vốn NTM</t>
  </si>
  <si>
    <t>Vốn XDCB tỉnh</t>
  </si>
  <si>
    <t>Trường mầm non</t>
  </si>
  <si>
    <t>Kế hoạch vốn 06 xã đăng ký đạt chuẩn 2016</t>
  </si>
  <si>
    <t>Kế hoạch của ngành giao thông (44,75 km); kế hoạch 06 xã đăng ký đạt chuẩn 2016 (17,62 km)</t>
  </si>
  <si>
    <t>Vốn NTM (1.000 trđ); vốn XDCB tỉnh (5.200trđ); kế hoạch Trung tâm NS&amp;VSMTNT (88.676 trđ)</t>
  </si>
  <si>
    <t>Xây dựng điểm thu gom rác thải, trang bị xe trở rác</t>
  </si>
  <si>
    <t>CHI TIẾT HUYỆN, THÀNH PHỐ</t>
  </si>
  <si>
    <t>Cắm mốc quy hoạch</t>
  </si>
  <si>
    <t>Biểu số 04</t>
  </si>
  <si>
    <t>Biểu số 05</t>
  </si>
  <si>
    <t>Hỗ trợ phát triển sản xuất</t>
  </si>
  <si>
    <t>Hỗ trợ trang thiết bị NVH thôn</t>
  </si>
  <si>
    <t>Vốn NTM; chính sách hỗ trợ của tỉnh</t>
  </si>
  <si>
    <t>STT</t>
  </si>
  <si>
    <t>Kế hoạch của Sở Giao thông</t>
  </si>
  <si>
    <t>Quy hoạch</t>
  </si>
  <si>
    <t>Giao thông</t>
  </si>
  <si>
    <t>Thủy lợi</t>
  </si>
  <si>
    <t>Kế hoạch vốn 06 xã đăng ký đạt chuẩn năm 2016</t>
  </si>
  <si>
    <t>Vốn ngân sách huyện</t>
  </si>
  <si>
    <t>Kế hoạch của Công ty điện lực tỉnh</t>
  </si>
  <si>
    <t>Điện</t>
  </si>
  <si>
    <t>Vốn XDCB tập trung năm 2016</t>
  </si>
  <si>
    <t>Cơ sở vật chất văn hóa</t>
  </si>
  <si>
    <t>Huy động đóng góp của nhân dân</t>
  </si>
  <si>
    <t>Chợ nông thôn</t>
  </si>
  <si>
    <t>Nhà ở dân cư</t>
  </si>
  <si>
    <t>Trụ sở xã</t>
  </si>
  <si>
    <t>Kế hoạch của Trung tâm NS &amp; VSMT nông thôn</t>
  </si>
  <si>
    <t>TỔNG HỢP NGUỒN KINH PHÍ HUY ĐỘNG NĂM 2016</t>
  </si>
  <si>
    <t xml:space="preserve">Cộng tổng </t>
  </si>
  <si>
    <t>Môi trường</t>
  </si>
  <si>
    <t>HUYỆN LÂM BÌNH</t>
  </si>
  <si>
    <t>HUYỆN NA HANG</t>
  </si>
  <si>
    <t>HUYỆN CHIÊM HÓA</t>
  </si>
  <si>
    <t>HUYỆN HÀM YÊN</t>
  </si>
  <si>
    <t>HUYỆN YÊN SƠN</t>
  </si>
  <si>
    <t>HUYỆN SƠN DƯƠNG</t>
  </si>
  <si>
    <t>Vốn ngân sách Trung ương địa phương</t>
  </si>
  <si>
    <t>Kết quả huy động nguồn lực giai đoạn 2011-2015</t>
  </si>
  <si>
    <t>Mục tiêu huy động nguồn lực giai đoạn 2016-2020 theo Đề án tỉnh</t>
  </si>
  <si>
    <t>Kế hoạch thực hiện giai đoạn 2016-2020</t>
  </si>
  <si>
    <t>Kế hoạch với kết quả thực hiện giai đoạn 2011-2015</t>
  </si>
  <si>
    <t>Kế hoạch với mục tiêu Đề án tỉnh giai đoạn 2016-2020</t>
  </si>
  <si>
    <t>So sánh (Tỷ lệ %)</t>
  </si>
  <si>
    <t>ĐVT: Tỷ đồng</t>
  </si>
  <si>
    <t>SO SÁNH KẾ HOẠCH, NHU CẦU VỐN GIAI ĐOẠN 2016-2020 
VỚI KẾT QUẢ THỰC HIỆN GIAI ĐOẠN 2011-2015 VÀ MỤC TIÊU ĐỀ ÁN TỈNH GIAI ĐOẠN 2016-2020</t>
  </si>
  <si>
    <t>C</t>
  </si>
  <si>
    <t>Số TT</t>
  </si>
  <si>
    <t>Nội dung xây dựng</t>
  </si>
  <si>
    <t>Đơn vị tính</t>
  </si>
  <si>
    <t>Số lượng</t>
  </si>
  <si>
    <t>Tr.đ</t>
  </si>
  <si>
    <t>I</t>
  </si>
  <si>
    <t>II</t>
  </si>
  <si>
    <t>Giao thông:</t>
  </si>
  <si>
    <t>Km</t>
  </si>
  <si>
    <t xml:space="preserve"> -</t>
  </si>
  <si>
    <t>CT</t>
  </si>
  <si>
    <t>Thuỷ lợi:</t>
  </si>
  <si>
    <t>Trạm</t>
  </si>
  <si>
    <t>Hộ</t>
  </si>
  <si>
    <t>Trường học</t>
  </si>
  <si>
    <t>Nhà</t>
  </si>
  <si>
    <t>nhà</t>
  </si>
  <si>
    <t>Ctr</t>
  </si>
  <si>
    <t>Điểm</t>
  </si>
  <si>
    <t>III</t>
  </si>
  <si>
    <t>-</t>
  </si>
  <si>
    <t>IV</t>
  </si>
  <si>
    <t>Y tế</t>
  </si>
  <si>
    <t>Mua bổ sung thiết bị cho trạm y tế xã</t>
  </si>
  <si>
    <t xml:space="preserve">Môi trường </t>
  </si>
  <si>
    <t>bãi</t>
  </si>
  <si>
    <t>V</t>
  </si>
  <si>
    <t>Xây dựng mới nhà ở  (xoá nhà tạm)</t>
  </si>
  <si>
    <t>Xây dựng mới Trạm y tế</t>
  </si>
  <si>
    <t>ĐVT: Triệu đồng</t>
  </si>
  <si>
    <t>Tổng</t>
  </si>
  <si>
    <t>VI</t>
  </si>
  <si>
    <t>Xây dựng cơ sở hạ tầng</t>
  </si>
  <si>
    <t>Điện sinh hoạt và sản xuất</t>
  </si>
  <si>
    <t>Lập quy hoạch</t>
  </si>
  <si>
    <t>Trường trung học  cơ sở</t>
  </si>
  <si>
    <t>Nhà ở dân cư nông thôn (Xóa nhà tạm, dột nát)</t>
  </si>
  <si>
    <t>Chiêm Hóa</t>
  </si>
  <si>
    <t>Hàm Yên</t>
  </si>
  <si>
    <t>Yên Sơn</t>
  </si>
  <si>
    <t>Sơn Dương</t>
  </si>
  <si>
    <t>Lâm Bình</t>
  </si>
  <si>
    <t>Trđ</t>
  </si>
  <si>
    <t>Nđịa</t>
  </si>
  <si>
    <t>Xây dựng trụ sở xã</t>
  </si>
  <si>
    <t>Tổng số:</t>
  </si>
  <si>
    <t>Kiên cố hóa kênh mương</t>
  </si>
  <si>
    <t xml:space="preserve">Đường trục xã, liên xã </t>
  </si>
  <si>
    <t xml:space="preserve">Đường trục - liên thôn </t>
  </si>
  <si>
    <t>Đường ngõ xóm</t>
  </si>
  <si>
    <t xml:space="preserve">Đường giao thông nội đồng </t>
  </si>
  <si>
    <t>Công trình cấp nước tập trung</t>
  </si>
  <si>
    <t>Hầm bể Biogas</t>
  </si>
  <si>
    <t xml:space="preserve"> Nhà tắm</t>
  </si>
  <si>
    <t>Nhà tiêu</t>
  </si>
  <si>
    <t>Chuồng trại chăn nuôi</t>
  </si>
  <si>
    <t>Bãi tập kết rác thải và xử lý của xã</t>
  </si>
  <si>
    <t>Nghĩa trang theo quy hoạch</t>
  </si>
  <si>
    <t xml:space="preserve">Tổng cộng </t>
  </si>
  <si>
    <t xml:space="preserve">Thành tiền </t>
  </si>
  <si>
    <t xml:space="preserve">Tổng số: </t>
  </si>
  <si>
    <t>1.1</t>
  </si>
  <si>
    <t>Vốn đầu tư phát triển</t>
  </si>
  <si>
    <t>1.2</t>
  </si>
  <si>
    <t>Vốn tín dụng</t>
  </si>
  <si>
    <t>Vốn huy động của doanh nghiệp</t>
  </si>
  <si>
    <t>Nhân dân đóng góp</t>
  </si>
  <si>
    <t xml:space="preserve"> </t>
  </si>
  <si>
    <t>Tỷ lệ (%)</t>
  </si>
  <si>
    <t>TT</t>
  </si>
  <si>
    <t>Ghi chú</t>
  </si>
  <si>
    <t>NSNN</t>
  </si>
  <si>
    <t>A</t>
  </si>
  <si>
    <t>Huyện Lâm Bình</t>
  </si>
  <si>
    <t>Huyện Na Hang</t>
  </si>
  <si>
    <t>Huyện Chiêm Hóa</t>
  </si>
  <si>
    <t>Huyện Hàm Yên</t>
  </si>
  <si>
    <t>Huyện Yên Sơn</t>
  </si>
  <si>
    <t>Huyện Sơn Dương</t>
  </si>
  <si>
    <t>B</t>
  </si>
  <si>
    <t>Xã Minh Hương</t>
  </si>
  <si>
    <t>Xã Thượng Ấm</t>
  </si>
  <si>
    <t>Xã Chi Thiết</t>
  </si>
  <si>
    <t>TP. Tuyên Quang</t>
  </si>
  <si>
    <t>Na Hang</t>
  </si>
  <si>
    <t>Diễn giải</t>
  </si>
  <si>
    <t>Khối lượng</t>
  </si>
  <si>
    <t>Vốn doanh nghiệp</t>
  </si>
  <si>
    <t>Xã Yên Thuận</t>
  </si>
  <si>
    <t>Xã Hùng Đức</t>
  </si>
  <si>
    <t>Xã Hào Phú</t>
  </si>
  <si>
    <t>Xã Phú Lương</t>
  </si>
  <si>
    <t>Tổng cộng</t>
  </si>
  <si>
    <t>(Kèm theo Kế hoạch số           /KH-UBND ngày       /       /2021 của Ủy ban nhân dân tỉnh Tuyên Quang)</t>
  </si>
  <si>
    <t>Biểu số 01</t>
  </si>
  <si>
    <t>Điều chỉnh quy hoạch</t>
  </si>
  <si>
    <t xml:space="preserve">Tổng số </t>
  </si>
  <si>
    <t>Ngân sách nhà nước</t>
  </si>
  <si>
    <t xml:space="preserve">TỔNG SỐ </t>
  </si>
  <si>
    <t>Đường thôn</t>
  </si>
  <si>
    <t>Đường nội đồng</t>
  </si>
  <si>
    <t>UBND TỈNH TUYÊN QUANG</t>
  </si>
  <si>
    <t>Vốn lồng ghép</t>
  </si>
  <si>
    <t xml:space="preserve"> Ngân sách cấp huyện</t>
  </si>
  <si>
    <t xml:space="preserve">Vốn hỗ trợ theo Nghị quyết số 55/2020/NQ-HĐND </t>
  </si>
  <si>
    <t>Khác</t>
  </si>
  <si>
    <t>1</t>
  </si>
  <si>
    <t>2</t>
  </si>
  <si>
    <t>3</t>
  </si>
  <si>
    <t>4</t>
  </si>
  <si>
    <t>5</t>
  </si>
  <si>
    <t>6</t>
  </si>
  <si>
    <t>7</t>
  </si>
  <si>
    <t>8</t>
  </si>
  <si>
    <t>9</t>
  </si>
  <si>
    <t>10</t>
  </si>
  <si>
    <t>11</t>
  </si>
  <si>
    <t>12</t>
  </si>
  <si>
    <t>13</t>
  </si>
  <si>
    <t>14</t>
  </si>
  <si>
    <t>Bê tông hóa đường ngõ xóm</t>
  </si>
  <si>
    <t>Bê tông hóa đường nội đồng</t>
  </si>
  <si>
    <t>Xây dựng sân thể thao thôn</t>
  </si>
  <si>
    <t>Xã Sơn Nam, huyện Sơn Dương</t>
  </si>
  <si>
    <t>Thành phố TQ</t>
  </si>
  <si>
    <t>Trong đó:</t>
  </si>
  <si>
    <t>Ngân sách tỉnh</t>
  </si>
  <si>
    <t>Nâng cấp Bưu điện văn hóa xã</t>
  </si>
  <si>
    <t>3.1</t>
  </si>
  <si>
    <t>3.2</t>
  </si>
  <si>
    <t>5.1</t>
  </si>
  <si>
    <t>5.2</t>
  </si>
  <si>
    <t>6.1</t>
  </si>
  <si>
    <t>Xã</t>
  </si>
  <si>
    <t>Vốn công ty điện 2021</t>
  </si>
  <si>
    <t>Đề xuất của cấp huyện</t>
  </si>
  <si>
    <t>KH điện 2021 của Sở CT</t>
  </si>
  <si>
    <t>Hỗ trợ trang thiết bị trạm y tế xã</t>
  </si>
  <si>
    <t>4.1</t>
  </si>
  <si>
    <t>Nhà ở dân cư nông thôn</t>
  </si>
  <si>
    <t>Vốn doanh nghiệp; vốn dự án cấp điện nông thôn từ lưới điện quốc gia.</t>
  </si>
  <si>
    <t>Xã Phú Bình</t>
  </si>
  <si>
    <t>Xã Bình Phú</t>
  </si>
  <si>
    <t>TỔNG HỢP, CHI TIẾT KẾ HOẠCH, NHU CẦU VỐN
THỰC HIỆN CHƯƠNG TRÌNH MTQG XÂY DỰNG NÔNG THÔN MỚI TỈNH TUYÊN QUANG NĂM 2021</t>
  </si>
  <si>
    <t>Xoá nhà tạm; sửa chữa nhà ở</t>
  </si>
  <si>
    <t>Vốn ngân sách nhà nước</t>
  </si>
  <si>
    <t>Biểu số: 01</t>
  </si>
  <si>
    <t>BIỂU TỔNG HỢP NHU CẦU KHỐI LƯỢNG CẤU KIỆN KÊNH BÊ TÔNG ĐÚC SẴN
ĐỂ KIÊN CỐ HÓA KÊNH MƯƠNG NĂM 2023 THEO NGHỊ QUYẾT SỐ 09/2020/NQ-HĐND NGÀY 15/12/2020 CỦA HĐND TỈNH</t>
  </si>
  <si>
    <t>(Kèm theo tờ trình số 24/TTr-SNN ngày 22/02/2023 của Sở Nông nghiệp và PTNT)</t>
  </si>
  <si>
    <t xml:space="preserve"> Tên huyện,
thành phố</t>
  </si>
  <si>
    <t>Chiều dài theo theo KH UBND tỉnh giao (m) (QĐ số 686 ngày 12/12/2022)</t>
  </si>
  <si>
    <t>Chiều dài  UBND các huyện, thành phố đăng ký (m)</t>
  </si>
  <si>
    <t>Mặt cắt kênh (38x51)cm</t>
  </si>
  <si>
    <t>Mặt cắt kênh (30x45)cm</t>
  </si>
  <si>
    <t>Cấu kiện loại 2,2m (CK)</t>
  </si>
  <si>
    <t>Cấu kiện loại 1,1m (CK)</t>
  </si>
  <si>
    <t>Cấu kiện góc ngoặt (CK)</t>
  </si>
  <si>
    <t>Cấu kiện chia nước (CK)</t>
  </si>
  <si>
    <t>Cấu kiện gối kê (CK)</t>
  </si>
  <si>
    <t>Trái</t>
  </si>
  <si>
    <t>Phải</t>
  </si>
  <si>
    <t>Chữ thập</t>
  </si>
  <si>
    <t>Nhân dân</t>
  </si>
  <si>
    <t xml:space="preserve">Ghi chú: 
1. Khối lượng chi tiết cấu kiện kênh bê tông đúc sẵn dự kiến cung ứng để kiên cố hóa các công trình kiên cố hóa kênh mương năm 2020 gồm: 
- 10% mặt cắt kênh có kích thước lớn (38x51)cm; 90% mặt cắt kênh có kích thước lớn (30x45)cm
- 35,8% cấu kiện loại có chiều 1,1m để sử dụng lắp đặt các đoạn kênh cong, uốn lượn; 62,2% cấu kiện loại có chiều 2,2m để sử dụng lắp đặt các đoạn kênh thẳng; 0,5% cấu kiện có cửa chia nước và 1,5% cấu kiện góc ngoặt </t>
  </si>
  <si>
    <t>Đơn giá cấu kiện kênh bê tông đúc sẵn tạm tính theo báo giá sản phẩm số 06/2023/BG-TCKT ngày 15/02/2023 của Công ty TNHH đầu tư và xây dựng Thành Hưng)</t>
  </si>
  <si>
    <t>BIỂU TỔNG HỢP KẾ HOẠCH PHÂN BỔ VỐN THỰC HIỆN BÊ TÔNG HÓA ĐƯỜNG GIAO THÔNG NÔNG THÔN NĂM 2023</t>
  </si>
  <si>
    <t xml:space="preserve"> TRÊN ĐỊA BÀN TỈNH TUYÊN QUANG</t>
  </si>
  <si>
    <t>(Kèm theo Quyết định số:  38/QĐ-UBND ngày 07/02/2023 của UBND tỉnh)</t>
  </si>
  <si>
    <t xml:space="preserve"> Đơn vị: Triệu đồng</t>
  </si>
  <si>
    <t xml:space="preserve">Tên huyện </t>
  </si>
  <si>
    <t xml:space="preserve"> Nguồn vốn TW giao năm 2020</t>
  </si>
  <si>
    <t>Kế hoạch đầu tư xây dựng năm 2023 theo Nghị quyết số 55/NQ-HĐND ngày 20/11/2020</t>
  </si>
  <si>
    <t>Kế hoạch thực hiện năm 2023</t>
  </si>
  <si>
    <t>Nhu cầu Vốn năm 2023</t>
  </si>
  <si>
    <t xml:space="preserve">Phân bổ kế hoạch vốn năm 2023 </t>
  </si>
  <si>
    <t xml:space="preserve">Chủ đầu tư </t>
  </si>
  <si>
    <t>Xây dựng cơ bản vốn tập trung trong nước</t>
  </si>
  <si>
    <t>Xây dựng cơ bản vốn tập trung trong nước (phân cấp cho huyện quản lý)</t>
  </si>
  <si>
    <t>Đường thôn (Km)</t>
  </si>
  <si>
    <t>Đường nội đồng (Km)</t>
  </si>
  <si>
    <t>3=4+5</t>
  </si>
  <si>
    <t>6=7+8</t>
  </si>
  <si>
    <t>10=11+12</t>
  </si>
  <si>
    <t>UBND huyện Na Hang</t>
  </si>
  <si>
    <t>UBND huyện Lâm Bình</t>
  </si>
  <si>
    <t>UBND huyện Chiêm Hóa</t>
  </si>
  <si>
    <t>UBND huyện Hàm Yên</t>
  </si>
  <si>
    <t>UBND huyện Yên Sơn</t>
  </si>
  <si>
    <t>UBND huyện Sơn Dương</t>
  </si>
  <si>
    <t>Biểu số 02</t>
  </si>
  <si>
    <t>BIỂU TỔNG HỢP KẾ HOẠCH PHÂN BỔ VỐN THỰC HIỆN CẦU TRÊN ĐƯỜNG GIAO THÔNG NÔNG THÔN NĂM 2023</t>
  </si>
  <si>
    <t>TRÊN ĐỊA BÀN TỈNH TUYÊN QUANG (CHỦ ĐẦU TƯ: SỞ GIAO THÔNG VẬN TẢI)</t>
  </si>
  <si>
    <t xml:space="preserve">Tên huyện/Tên xã, thị trấn/Tên thôn, xóm, bản, tổ dân phố/Tên cầu </t>
  </si>
  <si>
    <t xml:space="preserve">Thực hiện xây dựng cầu trên đường GTNT năm 2023 </t>
  </si>
  <si>
    <t>Nhu cầu vốn năm 2021</t>
  </si>
  <si>
    <t>Phân bổ kế hoạch vốn năm 2023</t>
  </si>
  <si>
    <t>Quy mô đầu tư (chiều dài nhịp L=8m)</t>
  </si>
  <si>
    <t>Quy mô đầutư (chiều dài nhịp L=12m)</t>
  </si>
  <si>
    <t>Nguồn tăng thu ngân sách, nguồn tiết kiệm chi thường xuyên chuyển sang chi đầu tư</t>
  </si>
  <si>
    <t>8=9+10</t>
  </si>
  <si>
    <t xml:space="preserve">Xã Sơn Phú </t>
  </si>
  <si>
    <t>Thôn Nà Sảm</t>
  </si>
  <si>
    <t>Cầu Nà Sảm</t>
  </si>
  <si>
    <t>Cầu Nà Còi</t>
  </si>
  <si>
    <t>Thôn Bản Lằn</t>
  </si>
  <si>
    <t>Cầu Nà Mò</t>
  </si>
  <si>
    <t>Thôn Nà Mu</t>
  </si>
  <si>
    <t>Cầu Nà Mu</t>
  </si>
  <si>
    <t>Xã Thượng Nông</t>
  </si>
  <si>
    <t>Thôn Đống Đa 2</t>
  </si>
  <si>
    <t>Cầu Khuổi Khương</t>
  </si>
  <si>
    <t>Xã Thượng Lâm</t>
  </si>
  <si>
    <t>Thôn Nà Thuôn</t>
  </si>
  <si>
    <t>Cầu Nà Quác</t>
  </si>
  <si>
    <t>Xã Phúc Sơn</t>
  </si>
  <si>
    <t>Thôn Bó Ngoạng</t>
  </si>
  <si>
    <t>Cầu Nà Chen</t>
  </si>
  <si>
    <t>Xã Khuôn Hà</t>
  </si>
  <si>
    <t>Thôn Lung May</t>
  </si>
  <si>
    <t>Cầu Lung may</t>
  </si>
  <si>
    <t>Thôn Nà Hu</t>
  </si>
  <si>
    <t>Cầu Nà Hu - Nà Chang</t>
  </si>
  <si>
    <t>Thị trấn Lăng Can</t>
  </si>
  <si>
    <t>Thôn Đon Bả</t>
  </si>
  <si>
    <t>Cầu Nà Cha</t>
  </si>
  <si>
    <t>Thôn Nà Lung</t>
  </si>
  <si>
    <t>Cầu Thôm Lùng</t>
  </si>
  <si>
    <t>Thôn Nà Làng</t>
  </si>
  <si>
    <t>Cầu Nà Lầy</t>
  </si>
  <si>
    <t xml:space="preserve">Xã Kiên Đài </t>
  </si>
  <si>
    <t>Thôn Làng Thẳm</t>
  </si>
  <si>
    <t>Cầu Nà Thại</t>
  </si>
  <si>
    <t>Thôn Khun Mạ</t>
  </si>
  <si>
    <t>Cầu Khuổi Thán</t>
  </si>
  <si>
    <t>Thôn Bản Lếch</t>
  </si>
  <si>
    <t>Cầu Nà Têm</t>
  </si>
  <si>
    <t>Cầu Khuôn Nghiều</t>
  </si>
  <si>
    <t>Thôn 12 Minh Quang</t>
  </si>
  <si>
    <t>Cầu Cây Si</t>
  </si>
  <si>
    <t>Thôn 9 Minh Quang</t>
  </si>
  <si>
    <t>Cầu Bản Hương</t>
  </si>
  <si>
    <t>Thôn Hao Bó</t>
  </si>
  <si>
    <t>Cầu Nậm Thàn</t>
  </si>
  <si>
    <t>Cầu Suối Hao 3</t>
  </si>
  <si>
    <t>Thôn Văn Nham</t>
  </si>
  <si>
    <t>Cầu Văn Nham</t>
  </si>
  <si>
    <t>Thôn Đèo Tế</t>
  </si>
  <si>
    <t>Cầu Đèo Tế</t>
  </si>
  <si>
    <t>Xã Lực Hành</t>
  </si>
  <si>
    <t>Thôn Đồng Ngọc</t>
  </si>
  <si>
    <t>Cầu Khuôn Lù</t>
  </si>
  <si>
    <t>Xã Đạo Viện</t>
  </si>
  <si>
    <t>Thôn Ngòi Rịa</t>
  </si>
  <si>
    <t>Cầu Ngòi Rịa</t>
  </si>
  <si>
    <t>Cầu Đội 874</t>
  </si>
  <si>
    <t>Xã Tiến Bộ</t>
  </si>
  <si>
    <t>Thôn Rạp</t>
  </si>
  <si>
    <t>Cầu Ngõ Bà Đống</t>
  </si>
  <si>
    <t>Thôn Gia</t>
  </si>
  <si>
    <t>Cầu Gốc Táu</t>
  </si>
  <si>
    <t>Xã Quý Quân</t>
  </si>
  <si>
    <t>Thôn 2</t>
  </si>
  <si>
    <t>Cầu Đồng Đình</t>
  </si>
  <si>
    <t>Xã Tân Long</t>
  </si>
  <si>
    <t>Thôn 1</t>
  </si>
  <si>
    <t>Cầu Cây Hồng</t>
  </si>
  <si>
    <t>Thôn Cường Đạt</t>
  </si>
  <si>
    <t>Cầu Gốc Gạo</t>
  </si>
  <si>
    <t>Xã Nhữ Khê</t>
  </si>
  <si>
    <t>Thôn Thọ Xuân</t>
  </si>
  <si>
    <t>Cầu Suối Đoàn</t>
  </si>
  <si>
    <t>Xã Lang Quán</t>
  </si>
  <si>
    <t>7.1</t>
  </si>
  <si>
    <t>Thôn 7</t>
  </si>
  <si>
    <t>Cầu Minh Lương</t>
  </si>
  <si>
    <t>Xã Trung Trực</t>
  </si>
  <si>
    <t>8.1</t>
  </si>
  <si>
    <t>Thôn 5</t>
  </si>
  <si>
    <t>Cầu Cây Cạo</t>
  </si>
  <si>
    <t>Thôn Thắng Lợi</t>
  </si>
  <si>
    <t>Cầu Gẫy</t>
  </si>
  <si>
    <t>Thôn Thọ Đức</t>
  </si>
  <si>
    <t>Cầu Mí</t>
  </si>
  <si>
    <t>Thôn Lão Nhiêu</t>
  </si>
  <si>
    <t>Cầu Đồng Khuôn</t>
  </si>
  <si>
    <t>Thôn Chấn Kiêng</t>
  </si>
  <si>
    <t>Cầu Trại Bò</t>
  </si>
  <si>
    <t>Thôn Cây Gạo</t>
  </si>
  <si>
    <t>Cầu Cây Gạo</t>
  </si>
  <si>
    <t>Thôn Đồng Bèn</t>
  </si>
  <si>
    <t>Cầu Đồng Bèn 1</t>
  </si>
  <si>
    <t>Cộng NS</t>
  </si>
  <si>
    <t>BIỂU TỔNG HỢP, CHI TIẾT  KẾ HOẠCH VỐN TẠI 08 XÃ  ĐĂNG KÝ  ĐẠT CHUẨN NÔNG THÔN MỚI, 
05 XÃ ĐĂNG KÝ ĐẠT CHUẨN NÔNG THÔN MỚI NÂNG CAO VÀ 02 XÃ ĐĂNG KÝ ĐẠT CHUẨN NÔNG THÔN MỚI KIỂU MẪU NĂM 2022</t>
  </si>
  <si>
    <t>(Kèm theo Tờ trình số 180/TTr-SNN ngày 14 / 9 / 2022 của Sở Nông nghiệp và PTNT tỉnh Tuyên Quang)</t>
  </si>
  <si>
    <r>
      <t>Tổng cộng</t>
    </r>
    <r>
      <rPr>
        <sz val="10.5"/>
        <rFont val="Times New Roman"/>
        <family val="1"/>
      </rPr>
      <t xml:space="preserve"> (Triệu đồng)</t>
    </r>
  </si>
  <si>
    <t xml:space="preserve">Chia nguồn kinh phí thực hiện </t>
  </si>
  <si>
    <t xml:space="preserve">Chia ra các cấp </t>
  </si>
  <si>
    <r>
      <t>Quỹ vì người nghèo tỉnh, huyện; vốn khác;...</t>
    </r>
    <r>
      <rPr>
        <sz val="10.5"/>
        <rFont val="Times New Roman"/>
        <family val="1"/>
      </rPr>
      <t xml:space="preserve"> (xóa nhà tạm, dột nát  hộ nghèo, cận nghèo)</t>
    </r>
  </si>
  <si>
    <t>Ngân sách tỉnh, NT mới năm 2022 và vốn  khác</t>
  </si>
  <si>
    <t>C trình ĐTPT mạng lưới y tế cs vùng KK,  vốn ADB</t>
  </si>
  <si>
    <t>CT mở rộng quy mô VS và NSNT dựa trên kq (vốn WB)</t>
  </si>
  <si>
    <t xml:space="preserve"> Đề án tổng thể di dân, TĐC thủy điện TQ</t>
  </si>
  <si>
    <t>CT MTQG phát triển KTXH vùng DTTS và miền núi</t>
  </si>
  <si>
    <t xml:space="preserve">Vốn hỗ trợ theo Nghị quyết số 88/2021/NQ-HĐND </t>
  </si>
  <si>
    <t xml:space="preserve">Vốn NTM </t>
  </si>
  <si>
    <t>Vốn hỗ trợ theo Nghị quyết số 03/2021/NQ-HĐND (BTH đường ngõ xóm)</t>
  </si>
  <si>
    <t>Vốn năm 2021-2022</t>
  </si>
  <si>
    <t>Vốn năm 2023-2025 (bố trí năm 2023)</t>
  </si>
  <si>
    <t>Rà soát, điều chỉnh quy hoạch</t>
  </si>
  <si>
    <t>CHI TIẾT KẾ HOẠCH VỐN 05 XÃ ĐĂNG KÝ ĐẠT CHUẨN NÔNG THÔN MỚI NÂNG CAO</t>
  </si>
  <si>
    <t>Xã Yên Nguyên, huyện Chiêm Hóa</t>
  </si>
  <si>
    <t>Bê tông hóa đường trục thôn</t>
  </si>
  <si>
    <t>Trường Mầm non: Xây dựng nhà lớp học 2 tầng 06 phòng học, hai khu cầu thang,  xây dựng hoàn thiện hệ thống phòng cháy chữa cháy; nhà mái che; cải tạo 06 phòng học thành các phòng hiệu bộ, phòng chức năng và hạng mục phụ trợ.</t>
  </si>
  <si>
    <t>Trường Tiểu học: Xây dựng nhà 3 tầng gồm 9 phòng 6 phòng bộ môn, 3 phòng vệ sinh, 02 khu cầu thang, xây dựng hoàn thiện hệ thống phòng cháy chữa cháy (1.390m2).</t>
  </si>
  <si>
    <t xml:space="preserve">Trường THCS: Xây dựng nhà 3 tầng bao gồm: 09 phòng học bộ môn, 04 phòng chuẩn bị, 01 phòng thư viện, 01 phòng truyền thống, 03 phòng tổ chuyên môn, 1 khu vệ sinh, 01 phòng y tế, nhà mái che 500m2. </t>
  </si>
  <si>
    <t>Xây dựng 04 phòng chức năng nhà văn hóa xã, sửa chữa nhà các Tổ chức chính trị xã hội và Công an xã</t>
  </si>
  <si>
    <t>Nâng cấp nhà văn hóa thôn (Vĩnh An, Cầu Cả)</t>
  </si>
  <si>
    <t>Xây dựng nhà văn hóa thôn (Yên Cốc)</t>
  </si>
  <si>
    <t>Mua sắm trang thiết bị nhà văn hóa thôn</t>
  </si>
  <si>
    <t>Nâng cấp, sửa chữa công trình cấp nước sinh hoạt Làng Non: Sửa chữa đập đầu mối, bể chứa và 3,5km đường ống cấp nước</t>
  </si>
  <si>
    <t>Xã Kim Quan, huyện Yên Sơn</t>
  </si>
  <si>
    <t>Bê tông hóa đường trục thôn - liên thôn</t>
  </si>
  <si>
    <t>Nâng cấp, sửa chữa trạm y tế xã</t>
  </si>
  <si>
    <t>Xã Ninh Lai, huyện Sơn Dương</t>
  </si>
  <si>
    <t>Giao Thông</t>
  </si>
  <si>
    <t>Trường Mầm non: Xây dựng  01 nhà mái che</t>
  </si>
  <si>
    <t>Trường Tiểu học: Xây dựng 10 phòng học, 06 phòng học bộ môn và 01 nhà mái che.</t>
  </si>
  <si>
    <t>Trường THCS: 03 phòng tổ chuyên môn, 01 phòng nghỉ giáo viên, 01 phòng đội, 01 phòng khoa học xã hội, 01 phòng tư vấn học đường, 01 phòng thiết bị dạy học, 01 kho, 01 phòng Y tế, 01 sân thể thao có mái che.</t>
  </si>
  <si>
    <t>Chất lượng môi trường sống</t>
  </si>
  <si>
    <t>Nâng cấp công trình nước sạch cụm Hội Kế</t>
  </si>
  <si>
    <t>Xã Hồng Lạc, huyện Sơn Dương</t>
  </si>
  <si>
    <t>Trường Mầm non: Xây dựng 4 phòng (01 phòng giáo dục thể chất, 01 phòng giáo dục đa năng, 01 kho, 01 phòng nhân viên)</t>
  </si>
  <si>
    <t>Trường Tiểu học: Xây dựng 06 phòng bộ môn, 01 sân thể thao có mái che</t>
  </si>
  <si>
    <t>Trường THCS: Xây dựng 09 phòng học bộ môn, 01 thư viện, 01 nhà mái che</t>
  </si>
  <si>
    <t>Xây dựng mới bể biogas hoặc bể tự hoại</t>
  </si>
  <si>
    <t>Xã Mỹ Bằng, huyện Yên Sơn</t>
  </si>
  <si>
    <t>Giáo dục-Y tế-Văn hóa</t>
  </si>
  <si>
    <t>Trường mầm non: Xây dựng phòng chức năng (Phòng bảo vệ, phòng y tế, văn phòng trường)</t>
  </si>
  <si>
    <t>Trường Tiểu học: Xây dựng nhà hoạt động đa năng</t>
  </si>
  <si>
    <t>Trường THCS: Xây dựng sân thể thao có mái che</t>
  </si>
  <si>
    <t>Vốn đề nghị Bộ, Ngành Trung ương hỗ trợ thực hiện tại huyện Sơn Dương</t>
  </si>
  <si>
    <t>Điều chỉnh Quy hoạch xã Thượng Lâm</t>
  </si>
  <si>
    <t>xã</t>
  </si>
  <si>
    <t>Đường xã</t>
  </si>
  <si>
    <t>Lắp đặt biển báo, biển chỉ dẫn</t>
  </si>
  <si>
    <t>Biển</t>
  </si>
  <si>
    <t>Xây dựng hệ thống đường điện chiếu sáng</t>
  </si>
  <si>
    <t>Trồng cây xanh các tuyến đường</t>
  </si>
  <si>
    <t>Cải tạo, nâng cấp đường giao thông thôn Bản Bó, xã Thượng Lam</t>
  </si>
  <si>
    <t>Trồng hoa các tuyến đường</t>
  </si>
  <si>
    <t>2.3</t>
  </si>
  <si>
    <t>Đường ngõ, xóm</t>
  </si>
  <si>
    <t>Bê tông hóa đường ngõ, xóm theo Nghị quyết số 03/2021/NQ-HĐND</t>
  </si>
  <si>
    <t>2.4</t>
  </si>
  <si>
    <t>Đường trục chính nội đồng</t>
  </si>
  <si>
    <t>2.5</t>
  </si>
  <si>
    <t>Xây dựng cầu</t>
  </si>
  <si>
    <t>Xây dựng cầu Nà Quác, thôn Nà Thuôn theo Nghị quyết số 55/NQ-HĐND</t>
  </si>
  <si>
    <t>Xây dựng công trình đầu mối</t>
  </si>
  <si>
    <t xml:space="preserve">Kiên cố hóa kênh mương theo Nghị quyết số 09/2020/NQHĐND </t>
  </si>
  <si>
    <t>3.3</t>
  </si>
  <si>
    <t>Phòng chống thiên tai</t>
  </si>
  <si>
    <t>Xây dựng kênh tiêu thoát lũ, nước thải sinh hoạt thôn Bản Chợ, xã Thượng Lâm</t>
  </si>
  <si>
    <t>Giáo dục</t>
  </si>
  <si>
    <t>Xây dựng phòng học, phòng chức năng Trường Tiểu học Thượng Lâm (12 phòng)</t>
  </si>
  <si>
    <t>Xây dựng 01 bể bời tại Trường Tiểu học Thượng Lâm</t>
  </si>
  <si>
    <t>Hỗ trợ dàn máy vi tính phục vụ giảng dạy môn tin học (Trường Tiểu học)</t>
  </si>
  <si>
    <t>Bộ</t>
  </si>
  <si>
    <t>Văn hóa</t>
  </si>
  <si>
    <t>Xây dựng nhà văn hóa thôn Bản Bó, xã Thượng Lâm</t>
  </si>
  <si>
    <t>Hỗ trợ trang thiết bị các nhà văn hóa thôn tại xã Thượng Lâm</t>
  </si>
  <si>
    <t>Thôn</t>
  </si>
  <si>
    <t>Cơ sở hạ tầng thương mại nông thôn</t>
  </si>
  <si>
    <t xml:space="preserve">Đã có văn bản đề nghị tỉnh hỗ trợ </t>
  </si>
  <si>
    <t>Nâng cấp chợ trung tâm xã Thượng Lâm</t>
  </si>
  <si>
    <t>Thông tin và Truyền thông</t>
  </si>
  <si>
    <t>Chi mua sắm, sửa chữa, nâng cấp thiết bị công nghệ thông tin các thôn bản</t>
  </si>
  <si>
    <t>Hỗ trợ nhà ở ( hỗ trợ hộ nghèo, cận nghèo làm nhà ở)</t>
  </si>
  <si>
    <t>Tổ chức sản xuất và phát triển kinh tế</t>
  </si>
  <si>
    <t>Hỗ trợ phát triển sản xuất nông, lâm nghiệp, thủy sản hàng hóa theo chuỗi giá trị</t>
  </si>
  <si>
    <t>DA</t>
  </si>
  <si>
    <t>Xây dựng mô hình ứng dụng công nghệ trồng dưa lưới trong nhà màng</t>
  </si>
  <si>
    <t>MH</t>
  </si>
  <si>
    <t>Hỗ trợ phát triển, nhân rộng các mô hình phân loại chất thải tại nguồn phát sinh</t>
  </si>
  <si>
    <t>Xây dựng chuồng trại chăn nuôi đảm bảo vệ sinh môi trường</t>
  </si>
  <si>
    <t>Xây dựng bể Biogas</t>
  </si>
  <si>
    <t>Bể</t>
  </si>
  <si>
    <t>Cấp nước sinh hoạt tập trung thôn Cốc Phát</t>
  </si>
  <si>
    <t>Xây dựng nhà tắm</t>
  </si>
  <si>
    <t>Xây dựng nhà tiêu</t>
  </si>
  <si>
    <t>Hỗ trợ thiết bị chứa nước sinh hoạt</t>
  </si>
  <si>
    <t>Nội dung thực hiện</t>
  </si>
  <si>
    <t>TỔNG CỘNG</t>
  </si>
  <si>
    <t>Chia nguồn thực hiện (Triệu đồng)</t>
  </si>
  <si>
    <t>Kinh phí (Tr.đồng)</t>
  </si>
  <si>
    <t>Ngân sách Nhà nước</t>
  </si>
  <si>
    <t>Doanh nghiệp</t>
  </si>
  <si>
    <t>Đóng góp của Nhân dân</t>
  </si>
  <si>
    <t>Chương trình MTQG xây dựng nông thôn mới</t>
  </si>
  <si>
    <t>Chương trình MTQG giảm nghèo bền vững</t>
  </si>
  <si>
    <t>Chương trình MTQG vùng đồng bào DTTS và MN</t>
  </si>
  <si>
    <t>NS tỉnh</t>
  </si>
  <si>
    <t>Ngân sách huyện</t>
  </si>
  <si>
    <t xml:space="preserve">Nghị quyết số 09/NQ-HĐND </t>
  </si>
  <si>
    <t xml:space="preserve">Nghị quyết số 55/NQ-HĐND </t>
  </si>
  <si>
    <t xml:space="preserve">Nghị quyết số 03/NQ-HĐND </t>
  </si>
  <si>
    <t>a</t>
  </si>
  <si>
    <t>b</t>
  </si>
  <si>
    <t>Trường THCS</t>
  </si>
  <si>
    <t>Vốn hỗ trợ theo Nghị quyết số 03/2021/NQ-HĐND</t>
  </si>
  <si>
    <t>Nghị quyết số 03/2021/NQ-HĐND ngày 16/7/2021 của HĐND tỉnh</t>
  </si>
  <si>
    <t>Bể biogas hoặc bể tự hoại</t>
  </si>
  <si>
    <t>Đóng góp của nhân dân</t>
  </si>
  <si>
    <t>Nâng cấp CT cấp nước tập trung</t>
  </si>
  <si>
    <t xml:space="preserve"> Điểu chỉnh quy hoạch </t>
  </si>
  <si>
    <t xml:space="preserve">Đường giao thông </t>
  </si>
  <si>
    <t>2,1</t>
  </si>
  <si>
    <t xml:space="preserve">Đường trục xã </t>
  </si>
  <si>
    <t>Nâng cấp tuyến đường liên xã đoạn từ thôn Khun Cang đi Đèo Lang (Kim Bình)</t>
  </si>
  <si>
    <t xml:space="preserve">Đường trục thôn </t>
  </si>
  <si>
    <t>Bê tông hóa tuyến đường trục thôn đoạn từ  QL 2C đến ông Huy (thôn Nà Ngà)</t>
  </si>
  <si>
    <t>Bê tông hóa tuyến đường trục thôn đoạn từ nhà bà Lành đến ông Thanh (thôn Nà Bây)</t>
  </si>
  <si>
    <t xml:space="preserve">Đường ngõ xóm </t>
  </si>
  <si>
    <t>Trường Tiểu học</t>
  </si>
  <si>
    <t>Xây dựng nhà 02 tầng gồm 16  phòng (11 phòng học thông thường (50m2/phòng) 05 phòng học bộ môn (âm nhạc, mỹ thuật, khoa học công nghệ, Tin học, ngoại ngữ, phòng đa năng, 01 thư viện, 01 thiết bị); diện tích 60m2/phòng</t>
  </si>
  <si>
    <t>Xây dựng 01 nhà mái che điểm trường chính</t>
  </si>
  <si>
    <t>Xây dựng 01 bếp ăn, nhà ăn bán trú cho học sinh</t>
  </si>
  <si>
    <t>Xây dưng 01 phòng học, 01 nhà vệ sinh điểm trường Đầm Hồng</t>
  </si>
  <si>
    <t>Xây dựng nhà 2 tầng gồm 10 phòng (04 phòng học thông thường, 06 phòng học bộ môn Âm Nhạc, Mỹ Thuật, Công nghệ, KHTN, KHXH, Tin học, Ngoại ngữ), diện tích 60m2/phòng</t>
  </si>
  <si>
    <t>Sửa chữa, cải tạo 03 dãy nhà gồm 10 phòng để sử dụng cho các phòng (phòng đa năng, thư viện, thiết bị, Đoàn đội, phòng truyền thống, phòng các tổ chuyên môn, phòng tư vấn học đường và hỗ trợ giáo dục HS khuyết tật hòa nhập</t>
  </si>
  <si>
    <t>4.2</t>
  </si>
  <si>
    <t>4.3</t>
  </si>
  <si>
    <t>Xây dựng sân thể thao Trung tâm xã</t>
  </si>
  <si>
    <t>4.4</t>
  </si>
  <si>
    <t>Xây dựng 9 sân thể thao thôn : Bắc Ngoã, Đầm Hồng 3, Đần Hồng 1, Nà Tuộc, Bản Đâng, Kim Ngọc, Khuôn Cang, Bản Cải, Nà Ngà, Kim Ngọc</t>
  </si>
  <si>
    <t>4.5</t>
  </si>
  <si>
    <t>Mua sắm trang thiết bị nhà văn hóa xã</t>
  </si>
  <si>
    <t>4.6</t>
  </si>
  <si>
    <t>Ma sắm trang thiết bị 15 nhà văn hóa thôn</t>
  </si>
  <si>
    <t>4.7</t>
  </si>
  <si>
    <t>Sửa chữa nâng cấp hệ thống truyền thanh không dây</t>
  </si>
  <si>
    <t xml:space="preserve">Làm mới </t>
  </si>
  <si>
    <t>Sửa chữa</t>
  </si>
  <si>
    <t>6.2</t>
  </si>
  <si>
    <t>Xây dựng hầm bể Biogas (7 bể), Bể tự hoại (65 bể)</t>
  </si>
  <si>
    <t>6.3</t>
  </si>
  <si>
    <t>Xây dựng điểm tập kết rác thải, mua xe chở rác</t>
  </si>
  <si>
    <t>Tổng KP (trđ)</t>
  </si>
  <si>
    <t>Chia nguồn thực hiện (trđ)</t>
  </si>
  <si>
    <t>Ngân sách tỉnh, NTM năm 2023 và vốn  khác</t>
  </si>
  <si>
    <t>Tromg đó</t>
  </si>
  <si>
    <r>
      <rPr>
        <b/>
        <sz val="10"/>
        <rFont val="Times New Roman"/>
        <family val="1"/>
      </rPr>
      <t>Quỹ vì người nghèo tỉnh, huyện; vốn khác;...</t>
    </r>
    <r>
      <rPr>
        <sz val="10"/>
        <rFont val="Times New Roman"/>
        <family val="1"/>
      </rPr>
      <t xml:space="preserve"> (xóa nhà tạm, dột nát  hộ nghèo, cận nghèo)</t>
    </r>
  </si>
  <si>
    <t xml:space="preserve">Vốn hỗ trợ theo Nghị quyết số 03/2021/NQ-HĐND </t>
  </si>
  <si>
    <t>Vốn NTM giai đoạn 2023 - 2025</t>
  </si>
  <si>
    <t>1=2+10+11+16+17</t>
  </si>
  <si>
    <t>2=3+9</t>
  </si>
  <si>
    <t>Xã Ngọc Hội</t>
  </si>
  <si>
    <t>Vốn DN</t>
  </si>
  <si>
    <t>Tín dụng</t>
  </si>
  <si>
    <t>NQ 03</t>
  </si>
  <si>
    <t>Làm mới</t>
  </si>
  <si>
    <r>
      <t>Quỹ vì người nghèo tỉnh, huyện; vốn khác;...</t>
    </r>
    <r>
      <rPr>
        <sz val="10"/>
        <rFont val="Times New Roman"/>
        <family val="1"/>
      </rPr>
      <t xml:space="preserve"> (xóa nhà tạm, dột nát  hộ nghèo, cận nghèo)</t>
    </r>
  </si>
  <si>
    <t>Ngân sách tỉnh, NT mới năm 2023 và vốn  khác</t>
  </si>
  <si>
    <t>Vốn hỗ trợ theo Nghị quyết số 55/2020/NQ-HĐND</t>
  </si>
  <si>
    <t xml:space="preserve">Vốn NTM  giai đoạn 2023 - 2025 </t>
  </si>
  <si>
    <t>Xã Vinh Quang</t>
  </si>
  <si>
    <t xml:space="preserve"> Điều chỉnh quy hoạch của xã</t>
  </si>
  <si>
    <t>Lắp đặt biển chỉ dẫn, biển báo tại các tuyến đường trục thôn</t>
  </si>
  <si>
    <t>Cái</t>
  </si>
  <si>
    <t>Lắp đặt đèn đường chiếu sáng</t>
  </si>
  <si>
    <t>Thủy lợi và phòng chống thiên tai</t>
  </si>
  <si>
    <t>Xây dựng mô hình tưới tiên tiến tiết kiệm nước cho vườn bưởi</t>
  </si>
  <si>
    <t>Ha</t>
  </si>
  <si>
    <t>Sửa chữa công trình thủy lợi Cốc Lọa</t>
  </si>
  <si>
    <t>Sữa chữa công trình thủy lợi Trạm bơm Soi Đúng</t>
  </si>
  <si>
    <t>Lắp đặt dụng cụ thể dục, thể thao ngoài trời, khu công cộng</t>
  </si>
  <si>
    <t>Xây dựng công trình thoát nước thải khu dân cư thôn Liên Nghĩa, thôn Phong Quang</t>
  </si>
  <si>
    <t>Công trình</t>
  </si>
  <si>
    <t xml:space="preserve">Bổ sung kinh phí hỗ trợ thu gom, xử lý rác thải </t>
  </si>
  <si>
    <t>Xây dựng 01 Phòng học Mầm non điểm trường Quang Hải và 02 nhà mái tre điển trường chính và điểm trường Quang Hải</t>
  </si>
  <si>
    <t>m2</t>
  </si>
  <si>
    <t>Xây dựng nhà 2 tầng 10 phòng học bộ môn</t>
  </si>
  <si>
    <t>Xây dựng 02 mái che ngoài trời điểm trường Chính  và điểm trường Hải Hà</t>
  </si>
  <si>
    <t>Xây dựng nhà 2 tầng 12 phòng gồm: các phòng chứcchức năng và bộ môn</t>
  </si>
  <si>
    <t>Xây dựng 01 Phòng thư viện</t>
  </si>
  <si>
    <t>Xây dựng 01 Nhà đa năng</t>
  </si>
  <si>
    <t>Bể bơi (bạt tiêu chuẩn, mái che)</t>
  </si>
  <si>
    <t>Tổ chức sản xuất</t>
  </si>
  <si>
    <t>Cấp mã vùng đối với cây chủ lực Bưởi, gấc</t>
  </si>
  <si>
    <t>SP</t>
  </si>
  <si>
    <t>Ứng dụng chuyển đổi số để truy xuất nguồn gốc đối với sản phẩm Nhãn</t>
  </si>
  <si>
    <t>Vinh Quang</t>
  </si>
  <si>
    <t xml:space="preserve">Xây dựng điểm thu gom rác thải, trang bị xe chở rác tại các thôn </t>
  </si>
  <si>
    <t>Nội dung</t>
  </si>
  <si>
    <t>ĐTV</t>
  </si>
  <si>
    <t>Tổng kinh phí</t>
  </si>
  <si>
    <t>vốn tín dụng</t>
  </si>
  <si>
    <t>Vốn nhân dân đóng góp</t>
  </si>
  <si>
    <t>Vốn huy động khác</t>
  </si>
  <si>
    <t>Vốn ngân sách tỉnh, huyện</t>
  </si>
  <si>
    <t>Vốn DTTS &amp; MN</t>
  </si>
  <si>
    <t>XÃ MINH HƯƠNG</t>
  </si>
  <si>
    <t xml:space="preserve">Điều chỉnh đồ án quy hoạch nông thôn mới xã giai đoạn 2021 - 2025 tầm nhìn 2030 </t>
  </si>
  <si>
    <t>Đường giao thông trục thôn</t>
  </si>
  <si>
    <t>Theo NQ 55</t>
  </si>
  <si>
    <t>XD mới 0,5  km đường dây 35kV, cấy 01 TBA 100 kVA-35/0,4kV. XD mới và cải tạo 2 km đường dây hạ áp thôn 7 Minh Tiến</t>
  </si>
  <si>
    <t>XD mới 1,5  km đường dây 35kV, cấy 01 TBA 100 kVA-35/0,4kV. XD mới và cải tạo 4 km đường dây hạ áp thôn 9 Minh Quang</t>
  </si>
  <si>
    <t>XD mới 0,5  km đường dây 35kV, cấy 01 TBA 100 kVA-35/0,4kV. XD mới và cải tạo 1 km đường dây hạ áp thôn 6 Minh Quang</t>
  </si>
  <si>
    <t>XD mới 1,2  km đường dây 35kV, cấy 01 TBA 100 kVA-35/0,4kV. XD mới và cải tạo 3 km đường dây hạ áp thôn 2 Minh Tiến</t>
  </si>
  <si>
    <t>Cải tạo chống quá taải lưới điện 0,4kV các TBA trên địa bàn xã (10 km)</t>
  </si>
  <si>
    <t>*</t>
  </si>
  <si>
    <t>Trường Mầm non Minh Hương</t>
  </si>
  <si>
    <t>Trường Tiểu học Minh Quang:</t>
  </si>
  <si>
    <t xml:space="preserve"> - XD nhà 2 tầng gồm 01 phòng Hiệu trưởng; 01 phòng phó Hiệu trưởng; 01 văn phòng trường; 01 phòng bảo vệ; 01 phòng tổ chức đảng, đoàn thể; 01 phòng bộ môn; 01 thư viện; 01 phòng thiết bị giáo dục; 01 phòng tư vấn học đường, hỗ trợ học sinh khuyết tật; 01 phòng truyền thống, Đội; 01 phòng y tế; 01 phòng họp cơ quan; 01 phòng kho; 01 nhà vệ sinh.</t>
  </si>
  <si>
    <t xml:space="preserve"> - XD 01 khu thể thao, sân chơi có mái che</t>
  </si>
  <si>
    <t>Trường THCS Minh Tiến</t>
  </si>
  <si>
    <t xml:space="preserve"> - XD nhà 2 tầng gồm: 01 phòng Hiệu trưởng; 01 phòng phó Hiệu trưởng; 01 văn phòng trường; 01 phòng bảo vệ; 01 phòng tổ chức đảng, đoàn thể; 08 phòng bộ môn; 01 phòng thư viện; 01 phòng thiết bị giáo dục; 01 phòng tư vấn học đường, hỗ trợ học sinh khuyết tật; 01 phòng truyền thống, Đoàn, Đội; 01 phòng họp cơ quan; 01 phòng y tế; 01 phòng kho; 03 phòng tổ chuyên môn.</t>
  </si>
  <si>
    <t>Trường THCS Minh Quang</t>
  </si>
  <si>
    <t>XD nhà văn hóa thôn 13 Minh Quang</t>
  </si>
  <si>
    <t>Nâng cấp sân thể thao thôn</t>
  </si>
  <si>
    <t>Hỗ trợ mua sắm trang thiết bị nhà văn hóa thôn</t>
  </si>
  <si>
    <t>Xoa nhà tạm, dột nát</t>
  </si>
  <si>
    <t>Môi trường và an toàn thực phẩm</t>
  </si>
  <si>
    <t>XD nghĩa trang theo quy hoạch</t>
  </si>
  <si>
    <t>XD công trình cấp nước tập trung khu trung tâm xã</t>
  </si>
  <si>
    <t>Năm 2022 đã bố trí 1.780 triệu</t>
  </si>
  <si>
    <t>Xây dựng điểm tập kết rác thải, mua xe trở rác,…</t>
  </si>
  <si>
    <t>XÃ THÀNH LONG</t>
  </si>
  <si>
    <t>Đường giao thông trục xã</t>
  </si>
  <si>
    <t>Đường giao thông ngõ, xóm</t>
  </si>
  <si>
    <t>Đường giao thông nội đồng</t>
  </si>
  <si>
    <t>XD mới 0,1  km đường dây 35kV, cấy 01 TBA 100 kVA-35/0,4kV. XD mới và cải tạo 2 km đường dây hạ áp thôn Cây Đa</t>
  </si>
  <si>
    <t>Cải tạo chống quá tai lưới điện 0,4kV các TBA trên địa bàn xã (5 km)</t>
  </si>
  <si>
    <t>Trường Mầm non Thành Long</t>
  </si>
  <si>
    <t>Trường Tiểu học Thành Long</t>
  </si>
  <si>
    <t>Đã bố trí vốn năm 2022: 1.780 triệu đồng</t>
  </si>
  <si>
    <t>Trường THCS Thành Long</t>
  </si>
  <si>
    <t>XD nhà 2 tầng gồm: 01 phòng Hiệu trưởng; 01 phòng phó Hiệu trưởng; 01 văn phòng trường; 01 phòng tổ chức đảng, đoàn thể; 06 phòng bộ môn; 01 phòng tư vấn học đường, hỗ trợ học sinh khyết tật; 01 phòng y tế; 01 phòng kho; 01 khu vệ sinh giáo viên.</t>
  </si>
  <si>
    <t>Nâng cấp nhà công vụ cũ (chuyển thành 04 phòng tổ chuyên môn)</t>
  </si>
  <si>
    <t>XD 01 khu thể thao, sân chơi có mái che</t>
  </si>
  <si>
    <t>Nâng cấp nhà văn hóa xã</t>
  </si>
  <si>
    <t>XD nhà văn hóa thôn</t>
  </si>
  <si>
    <t>Xóa nhà tạm, dột nát</t>
  </si>
  <si>
    <t>XD nhĩa trang theo quy hoạch</t>
  </si>
  <si>
    <t>XÃ HÙNG ĐỨC</t>
  </si>
  <si>
    <t>XD mới 1,2  km đường dây 35kV, cấy 01 TBA 100 kVA-35/0,4kV. XD mới và cải tạo 2 km đường dây hạ áp thôn Khánh Xuân</t>
  </si>
  <si>
    <t>XD mới 1,2  km đường dây 35kV, cấy 01 TBA 100 kVA-35/0,4kV. XD mới và cải tạo 1 km đường dây hạ áp thôn Cây Quéo</t>
  </si>
  <si>
    <t>XD mới 1  km đường dây 35kV, cấy 01 TBA 100 kVA-35/0,4kV. XD mới và cải tạo 2 km đường dây hạ áp thôn Hùng Xuân</t>
  </si>
  <si>
    <t>Cải tạo chống quá tai lưới điện 0,4kV các TBA trên địa bàn xã (8 km)</t>
  </si>
  <si>
    <t>Trường Mầm non Hùng Đức</t>
  </si>
  <si>
    <t>Trường Tiểu học Hùng Vân</t>
  </si>
  <si>
    <t xml:space="preserve"> - XD nhà 2 tầng gồm: 01 phòng hiệu trưởng; 02 phòng hiệu phó; 03 phòng bộ môn; 01 văn phòng trường; 01 phòng bảo vệ; 01 phòng tổ chức đảng, đoàn thể; 05 phòng bộ môn; 01 phòng thiết bị giáo dục; 01 phòng thư viện; 01 phòng tư vấn học đường, hỗ trợ học sinh khuyết tật; 01 phòng truyền thống, đội; 01 phòng họp cơ quan; 01 phòng y tế; 01 phòng kho; 01 nhà vệ sinh giáo viên, 01 nhà vệ sinh học sinh.</t>
  </si>
  <si>
    <t xml:space="preserve"> - XD 01 nhà bếp; 01 kho bếp; 01 nhà ăn; 12 phòng ở bán trú; 02 phòng quản lý bán trú</t>
  </si>
  <si>
    <t>Trường THCS Hùng Đức</t>
  </si>
  <si>
    <t xml:space="preserve"> - XD nhà 3 tầng gồm: 01 phòng hiệu trưởng; 02 phòng phó hiệu trưởng; 01 phòng tổ chức đảng, đoàn thể; 01 phòng bảo vệ; 07 phòng bộ môn; 01 phòng thiết bị giáo dục; 01 Phòng tư vấn học đường, hỗ trợ học sinh khuyết tật; 01 Phòng truyền thống, Đoàn, Đội; 01 phòng họp cơ quan; 01 phòng y tế; 01 phòng kho; 02 phòng tổ chuyên môn; 01 nhà vệ sinh giáo viên, 01 nhà vệ sinh học sinh.</t>
  </si>
  <si>
    <t xml:space="preserve"> - XD nhà 2 tầng gồm 16 phòng ở học sinh bán trú; 01 phòng quản lý bán trú.</t>
  </si>
  <si>
    <t>XD nhà văn hóa xã</t>
  </si>
  <si>
    <t xml:space="preserve">Năm 2022 đã bố trí 1,780 triệu </t>
  </si>
  <si>
    <t>XÃ ĐỨC NINH</t>
  </si>
  <si>
    <t>Lắp đặt biển báo, biển chỉ dẫn tại các tuyến đường truc xã</t>
  </si>
  <si>
    <t>Bê tông hóa đường giao thông trục thôn</t>
  </si>
  <si>
    <t>Lắp đặt biển báo, biển chỉ dẫn tại các tuyến đường thôn</t>
  </si>
  <si>
    <t>Trường Mầm non Đức Ninh</t>
  </si>
  <si>
    <t>Trường THCS Đức Ninh</t>
  </si>
  <si>
    <t>XD nhà 2 tầng gồm: 01 phòng hiệu trưởng; 01 phòng phó hiệu trưởng; 01 văn phòng trường; 01 phòng bảo vệ; 01 phòng tổ chức đảng, đoàn thể; 02 phòng bộ môn; 01 phòng thiết bị giáo dục; 01 phòng tư vấn học đường, hỗ trợ học sinh khuyết tật; 01 phòng họp cơ quan; 01 phòng truyền thống, Đoàn, Đội; 03 phòng tổ chuyên môn; 01 phòng y tế; 01 phòng kho.</t>
  </si>
  <si>
    <t>Trường Tiểu học Đức Ninh</t>
  </si>
  <si>
    <t>Năm 2022 đã bố trí 868 triệu đồng</t>
  </si>
  <si>
    <t>Nâng cấp chợ trung tâm xã</t>
  </si>
  <si>
    <t>Xây dựng điểm tập kết rác thải</t>
  </si>
  <si>
    <t>XÃ BÌNH XA</t>
  </si>
  <si>
    <t>Trường THCS Bình Xa:</t>
  </si>
  <si>
    <t>Đạt chuẩn mức 2</t>
  </si>
  <si>
    <t>XD 01 văn phòng trường; 01phòng làm việc; 02 phòng nghỉ giáo viên; 01 nhà kho; 01 khu vệ sinh giáo viên, học sinh</t>
  </si>
  <si>
    <t>XD, Lắp đặt hệ thống loa truyền thanh thông minh (xã và 18 thôn)</t>
  </si>
  <si>
    <t>Không trong Đề án</t>
  </si>
  <si>
    <t>ĐỀ XUẤT KẾ HOẠCH VỐN THỰC HIỆN TIÊU CHÍ HUYỆN NÔNG THÔN MỚI NĂM 2023</t>
  </si>
  <si>
    <t>Vốn NSNN</t>
  </si>
  <si>
    <t>TỔNG</t>
  </si>
  <si>
    <t xml:space="preserve">Xây dựng tuyến đường ĐH.09 từ Km162+180, QL.2 - Trung Thành </t>
  </si>
  <si>
    <t>Giải phóng mặt bằng xây dựng bến xe khách trung tâm huyện đạt tiêu chuẩn loại IV</t>
  </si>
  <si>
    <t>Cải tạo, nâng cấp đường ĐH.02 từ xã Đức Ninh - Hùng Đức, huyện Hàm Yên, tỉnh Tuyên Quang.</t>
  </si>
  <si>
    <t>Được phân bổ 10 tỷ tại QĐ số  726/QĐ-UBND ngày 31/12/2022</t>
  </si>
  <si>
    <t>Cải tạo, nâng cấp đường ĐH.05 từ xã Thái Sơn - Thành Long - Bằng Cốc - Nhân Mục, huyện Hàm Yên</t>
  </si>
  <si>
    <t>Xây dựng tuyến đường ĐH.10 từ Km 170+470, QL2 đi UBND xã Thành Long, huyện Hàm Yên, tỉnh Tuyên Quang (giai đoạn 2)</t>
  </si>
  <si>
    <t>Đã thực hiện giai đoạn 1 chiều dài 548m với TMĐT 2,7 tỷ được cấp theo QĐ số 426 năm 2022</t>
  </si>
  <si>
    <t>Y tế - Văn hóa - Giáo dục</t>
  </si>
  <si>
    <t>Xây dựng bể bơi huyện</t>
  </si>
  <si>
    <t>Được phân bổ 03 tỷ tại QĐ số  75/QĐ-UBND ngày 28/02/2023</t>
  </si>
  <si>
    <t>Nâng cấp trung tâm Văn hóa - Thể thao huyện đạt chuẩn</t>
  </si>
  <si>
    <t>Nâng cấp Trung tâm phát thanh của Trung tâm văn hóa Truyền thông và thể thao huyện</t>
  </si>
  <si>
    <t>Được phân bổ 01 tỷ tại QĐ số  75/QĐ-UBND ngày 28/02/2023</t>
  </si>
  <si>
    <t>Xây dựng phòng học, phòng bộ môn và khối phục vụ học tập, khối hành chính - quản trị; phòng chức năng, nhà đa năng và hạng mục phụ trợ trường THPT Hàm Yên</t>
  </si>
  <si>
    <t>Được phân bổ 7,0252 tỷ tại QĐ số  75/QĐ-UBND ngày 28/02/2023</t>
  </si>
  <si>
    <t>Kinh tế</t>
  </si>
  <si>
    <t>Nâng cấp chợ trung tâm huyện</t>
  </si>
  <si>
    <t>Được phân bổ 1,5 tỷ tại QĐ số 75/QĐ-UBND ngày 28/02/2023</t>
  </si>
  <si>
    <t>Môi Trường</t>
  </si>
  <si>
    <t>Xây dựng bãi chôn lấp rác thải hợp vệ sinh tại xã Thái Sơn để xử lý rác thải của 10 xã phía Nam của huyện</t>
  </si>
  <si>
    <t>Xây dựng Nhà máy xử lý rác thải của huyện đạt chuẩn tại xã Thái Sơn</t>
  </si>
  <si>
    <t>Xây dựng bãi chôn lấp rác thải hợp vệ sinh tại xã Minh Dân để xử lý rác thải của 8 xã phía Bắc của huyện, huyện Hàm Yên (giai đoạn 2)</t>
  </si>
  <si>
    <t xml:space="preserve">Xây dựng 01 mô hình tái chế chất thải hữu cơ, phụ phẩm nông nghiệp </t>
  </si>
  <si>
    <t>Được phân bổ 1,5 tỷ tại QĐ số  75/QĐ-UBND ngày 28/02/2023</t>
  </si>
  <si>
    <t>Xây dựng công trình xử lý nước thải sinh hoạt tập trung tại thị trấn Tân Yên, huyện Hàm Yên, tỉnh Tuyên Quang</t>
  </si>
  <si>
    <t>Được phân bổ 6,768 tỷ tại QĐ số 74/QĐ-UBND ngày 28/02/2023</t>
  </si>
  <si>
    <t>Xây dựng hệ thống đường giao thông, hệ thống thoát nước và xử ký nước thải cụm công nghiệp Tân Thành (XD hạng mục xử lý nước thải cụm công nghiệp Tân Thành</t>
  </si>
  <si>
    <t>Xây dựng Đề án/Kế hoạch quản lý CTR, chất lượng nước thải, bảo vệ chất lượng nước và các nguồn mặt trên địa bàn huyện</t>
  </si>
  <si>
    <t>Xây dựng Đề án/ Kế hoạch quản lý chất lượng nước thải địa bàn huyện kèm theo Quyết định phê duyệt</t>
  </si>
  <si>
    <t>Xây dựng Đề án/ Kế hoạch quản lý CTR trên địa bàn huyện kèm theo Quyết định phê duyệt</t>
  </si>
  <si>
    <t>Xây dựng kế hoạch/ Đề án kiểm kê, kiểm soát, bảo vệ chất lượng nước; phục hồi cảnh quan, cải tạo hệ sinh thái ao hồ và các nguồn nước mặt trên địa bàn huyện</t>
  </si>
  <si>
    <r>
      <rPr>
        <i/>
        <sz val="10"/>
        <color indexed="10"/>
        <rFont val="Times New Roman"/>
        <family val="1"/>
      </rPr>
      <t>Điểm thôn 6 Minh Tiến:</t>
    </r>
    <r>
      <rPr>
        <sz val="10"/>
        <color indexed="10"/>
        <rFont val="Times New Roman"/>
        <family val="1"/>
      </rPr>
      <t xml:space="preserve">
XD 01 nhà bếp; 01 kho bếp</t>
    </r>
  </si>
  <si>
    <r>
      <t xml:space="preserve">XD mới 0,7  km đường dây 35kV, cấy 01 TBA 100 kVA-35/0,4kV. XD mới và cải tạo 2 km đường dây hạ áp thôn </t>
    </r>
    <r>
      <rPr>
        <sz val="10"/>
        <color indexed="10"/>
        <rFont val="Times New Roman"/>
        <family val="1"/>
      </rPr>
      <t>Đèo Tế</t>
    </r>
  </si>
  <si>
    <r>
      <rPr>
        <i/>
        <sz val="10"/>
        <color indexed="10"/>
        <rFont val="Times New Roman"/>
        <family val="1"/>
      </rPr>
      <t xml:space="preserve">Điểm chính: </t>
    </r>
    <r>
      <rPr>
        <sz val="10"/>
        <color indexed="10"/>
        <rFont val="Times New Roman"/>
        <family val="1"/>
      </rPr>
      <t xml:space="preserve">
- XD nhà 2 tầng gồm: 01 phòng hiệu trưởng; 01 phó hiệu trưởng; 01 văn phòng trường; 01 bảo vệ; 06 phòng chăm sóc nuôi dưỡng; 01 phòng giáo dục thể chất; 01 phòng giáo dục nghệ thuật; 01 phòng họp cơ quan; 01 phòng y tế; 01 kho.
- XD 01 nhà bếp; 01 kho bếp.</t>
    </r>
  </si>
  <si>
    <r>
      <rPr>
        <i/>
        <sz val="10"/>
        <color indexed="10"/>
        <rFont val="Times New Roman"/>
        <family val="1"/>
      </rPr>
      <t xml:space="preserve">Điểm thôn 8 Minh Tiến: 
</t>
    </r>
    <r>
      <rPr>
        <sz val="10"/>
        <color indexed="10"/>
        <rFont val="Times New Roman"/>
        <family val="1"/>
      </rPr>
      <t>XD 01 phòng chăm sóc nuôi dưỡng; 01 nhà bếp; 01 kho bếp</t>
    </r>
  </si>
  <si>
    <r>
      <rPr>
        <i/>
        <sz val="10"/>
        <color indexed="10"/>
        <rFont val="Times New Roman"/>
        <family val="1"/>
      </rPr>
      <t xml:space="preserve">Điểm thôn Cây Đa:
</t>
    </r>
    <r>
      <rPr>
        <sz val="10"/>
        <color indexed="10"/>
        <rFont val="Times New Roman"/>
        <family val="1"/>
      </rPr>
      <t>XD 01 phòng chăm sóc nuôi dưỡng; 01 nhà bếp; 01 kho bếp.</t>
    </r>
  </si>
  <si>
    <r>
      <t xml:space="preserve"> - XD 01 phòng hiệu trưởng; 01 phòng phó Hiệu trưởng; 02 phòng bộ môn; 01 phòng thư viện; 01 phòng thiết bị giáo dục; 01 phòng truyền thống, đoàn, đội; 01 phòng kho;</t>
    </r>
    <r>
      <rPr>
        <sz val="10"/>
        <color indexed="10"/>
        <rFont val="Times New Roman"/>
        <family val="1"/>
      </rPr>
      <t xml:space="preserve"> 01 phòng tư vấn học đường, hỗ trợ học sinh khuyết tật; 01 phòng y tế; 02 phòng tổ chuyên môn; 01 phòng bảo vệ.</t>
    </r>
  </si>
  <si>
    <t>Quỹ vì người nghèo</t>
  </si>
  <si>
    <r>
      <rPr>
        <i/>
        <sz val="10"/>
        <color indexed="10"/>
        <rFont val="Times New Roman"/>
        <family val="1"/>
      </rPr>
      <t xml:space="preserve">Điểm chính: </t>
    </r>
    <r>
      <rPr>
        <sz val="10"/>
        <color indexed="10"/>
        <rFont val="Times New Roman"/>
        <family val="1"/>
      </rPr>
      <t xml:space="preserve">
- XD nhà 2 tầng gồm: 02 phòng chăm sóc nuôi dưỡng; 01 phòng hiệu trưởng; 01 phòng phó hiệu trưởng; 01 phòng bảo vệ 01 phòng giáo dục nghệ thuật; 01 phòng họp cơ quan; 01 phòng y tế; 01 phòng kho; 01 nhà vệ sinh.
- XD 01 nhà bếp; 01 kho bếp</t>
    </r>
  </si>
  <si>
    <r>
      <rPr>
        <i/>
        <sz val="10"/>
        <color indexed="10"/>
        <rFont val="Times New Roman"/>
        <family val="1"/>
      </rPr>
      <t>Điểm Trung Thành 1:</t>
    </r>
    <r>
      <rPr>
        <sz val="10"/>
        <color indexed="10"/>
        <rFont val="Times New Roman"/>
        <family val="1"/>
      </rPr>
      <t xml:space="preserve"> XD 01 nhà bếp; 01 kho bếp</t>
    </r>
  </si>
  <si>
    <r>
      <rPr>
        <i/>
        <sz val="10"/>
        <color indexed="10"/>
        <rFont val="Times New Roman"/>
        <family val="1"/>
      </rPr>
      <t>Điểm Trung Thành 4:</t>
    </r>
    <r>
      <rPr>
        <sz val="10"/>
        <color indexed="10"/>
        <rFont val="Times New Roman"/>
        <family val="1"/>
      </rPr>
      <t xml:space="preserve"> XD 01 nhà bếp; 01 kho bếp</t>
    </r>
  </si>
  <si>
    <r>
      <rPr>
        <i/>
        <sz val="10"/>
        <color indexed="10"/>
        <rFont val="Times New Roman"/>
        <family val="1"/>
      </rPr>
      <t>Điểm Phúc Long 1:</t>
    </r>
    <r>
      <rPr>
        <sz val="10"/>
        <color indexed="10"/>
        <rFont val="Times New Roman"/>
        <family val="1"/>
      </rPr>
      <t xml:space="preserve"> XD 01 nhà bếp; 01 kho bếp</t>
    </r>
  </si>
  <si>
    <r>
      <rPr>
        <i/>
        <sz val="10"/>
        <color indexed="10"/>
        <rFont val="Times New Roman"/>
        <family val="1"/>
      </rPr>
      <t>Điểm Phúc Long 3:</t>
    </r>
    <r>
      <rPr>
        <sz val="10"/>
        <color indexed="10"/>
        <rFont val="Times New Roman"/>
        <family val="1"/>
      </rPr>
      <t xml:space="preserve"> XD 01 nhà bếp; 01 kho bếp; 01 nhà vệ sinh học sinh</t>
    </r>
  </si>
  <si>
    <r>
      <rPr>
        <i/>
        <sz val="10"/>
        <color indexed="10"/>
        <rFont val="Times New Roman"/>
        <family val="1"/>
      </rPr>
      <t>Điểm Thành Công:</t>
    </r>
    <r>
      <rPr>
        <sz val="10"/>
        <color indexed="10"/>
        <rFont val="Times New Roman"/>
        <family val="1"/>
      </rPr>
      <t xml:space="preserve"> XD 01 phòng chăm sóc nuôi dưỡng. Nâng cấp 01 nhà bếp, 01 kho bếp.</t>
    </r>
  </si>
  <si>
    <r>
      <rPr>
        <i/>
        <sz val="10"/>
        <color indexed="10"/>
        <rFont val="Times New Roman"/>
        <family val="1"/>
      </rPr>
      <t>Điểm chính:</t>
    </r>
    <r>
      <rPr>
        <sz val="10"/>
        <color indexed="10"/>
        <rFont val="Times New Roman"/>
        <family val="1"/>
      </rPr>
      <t xml:space="preserve">
- XD nhà 2 tầng, gồm: 04 phòng bộ môn.
- XD nhà 2 tầng gồm: 01 phòng hiệu trưởng; 01 phòng phó hiệu trưởng; 01 phòng bảo vệ; 01 phòng tổ chức đảng, đoàn thể; 01 phòng đa chức năng; 01 phòng thư viện; 01 phòng thiết bị giáo dục; 01 phòng y tế; 01 Phòng tư vấn học đường, hỗ trợ học sinh khuyết tật; 01 phòng truyền thống, đội; 01 phòng họp cơ quan; 01 phòng kho; 01 nhà vệ sinh giáo viên.
- XD 01 khu vệ sinh học sinh.
- XD 01 khu thể thao, sân chơi có mái che</t>
    </r>
  </si>
  <si>
    <r>
      <rPr>
        <i/>
        <sz val="10"/>
        <color indexed="10"/>
        <rFont val="Times New Roman"/>
        <family val="1"/>
      </rPr>
      <t>Điểm Phúc Long 4:</t>
    </r>
    <r>
      <rPr>
        <sz val="10"/>
        <color indexed="10"/>
        <rFont val="Times New Roman"/>
        <family val="1"/>
      </rPr>
      <t xml:space="preserve"> XD 01 nhà vệ sinh giáo viên, học sinh</t>
    </r>
  </si>
  <si>
    <r>
      <rPr>
        <i/>
        <sz val="10"/>
        <color indexed="10"/>
        <rFont val="Times New Roman"/>
        <family val="1"/>
      </rPr>
      <t>Điểm Phúc Long 1:</t>
    </r>
    <r>
      <rPr>
        <sz val="10"/>
        <color indexed="10"/>
        <rFont val="Times New Roman"/>
        <family val="1"/>
      </rPr>
      <t xml:space="preserve"> Nâng cấp 02 phòng học thông thường; XD 01 nhà vệ sinh.</t>
    </r>
  </si>
  <si>
    <t>Xây dựng, nâng cấp sân thể thao thôn</t>
  </si>
  <si>
    <r>
      <rPr>
        <i/>
        <sz val="10"/>
        <color indexed="10"/>
        <rFont val="Times New Roman"/>
        <family val="1"/>
      </rPr>
      <t xml:space="preserve">Điểm chính: </t>
    </r>
    <r>
      <rPr>
        <sz val="10"/>
        <color indexed="10"/>
        <rFont val="Times New Roman"/>
        <family val="1"/>
      </rPr>
      <t xml:space="preserve">
- XD nhà 2 tầng gồm: 01 phòng hiệu trưởng; 01 phòng phó hiệu trưởng; 01 phòng bảo vệ; 01 phòng giáo dục thể chất; 01 phòng họp cơ quan; 01 phòng y tế; 01 phòng kho; 01 nhà vệ sinh giáo viên.
- XD 01 nhà bếp; 01 kho bếp.</t>
    </r>
  </si>
  <si>
    <r>
      <rPr>
        <i/>
        <sz val="10"/>
        <color indexed="10"/>
        <rFont val="Times New Roman"/>
        <family val="1"/>
      </rPr>
      <t xml:space="preserve">Điểm Xuân Phan: </t>
    </r>
    <r>
      <rPr>
        <sz val="10"/>
        <color indexed="10"/>
        <rFont val="Times New Roman"/>
        <family val="1"/>
      </rPr>
      <t>XD 01 phòng chăm sóc nuôi dưỡng</t>
    </r>
  </si>
  <si>
    <r>
      <rPr>
        <i/>
        <sz val="10"/>
        <color indexed="10"/>
        <rFont val="Times New Roman"/>
        <family val="1"/>
      </rPr>
      <t xml:space="preserve">Điểm chính: </t>
    </r>
    <r>
      <rPr>
        <sz val="10"/>
        <color indexed="10"/>
        <rFont val="Times New Roman"/>
        <family val="1"/>
      </rPr>
      <t xml:space="preserve">XD 01 phòng hiệu trưởng; 02 phó hiệu trưởng; 03 phòng chăm sóc nuôi dưỡng; 01 văn phòng trường; 01 phòng bảo vệ; 01 phòng giáo dục nghệ thuật; 01 phòng y tế; 01 nhà kho; 01 kho bếp. </t>
    </r>
  </si>
  <si>
    <r>
      <rPr>
        <i/>
        <sz val="10"/>
        <color indexed="10"/>
        <rFont val="Times New Roman"/>
        <family val="1"/>
      </rPr>
      <t xml:space="preserve">Điểm Bình Minh: </t>
    </r>
    <r>
      <rPr>
        <sz val="10"/>
        <color indexed="10"/>
        <rFont val="Times New Roman"/>
        <family val="1"/>
      </rPr>
      <t>XD 01 phòng chăm sóc nuôi dưỡng; 01 nhà bếp.</t>
    </r>
  </si>
  <si>
    <r>
      <rPr>
        <i/>
        <sz val="10"/>
        <color indexed="10"/>
        <rFont val="Times New Roman"/>
        <family val="1"/>
      </rPr>
      <t>Điểm chính:</t>
    </r>
    <r>
      <rPr>
        <sz val="10"/>
        <color indexed="10"/>
        <rFont val="Times New Roman"/>
        <family val="1"/>
      </rPr>
      <t xml:space="preserve"> 
- XD nhà 2 tầng gồm: 01 văn phòng trường; 01 phòng bảo vệ; 06 phòng học; 01 phòng bộ môn.
- XD 01 khu thể thao, sân chơi có mái che</t>
    </r>
  </si>
  <si>
    <r>
      <rPr>
        <i/>
        <sz val="10"/>
        <color indexed="10"/>
        <rFont val="Times New Roman"/>
        <family val="1"/>
      </rPr>
      <t xml:space="preserve">Điểm Đức Thuận: </t>
    </r>
    <r>
      <rPr>
        <sz val="10"/>
        <color indexed="10"/>
        <rFont val="Times New Roman"/>
        <family val="1"/>
      </rPr>
      <t>XD nhà 2 tầng gồm: 01 phòng phó hiệu trưởng; 02 phòng bộ môn; 01 phòng thiết bị giáo dục; 01 phòng thư viện; 04 phòng học; 01 phòng kho.</t>
    </r>
  </si>
  <si>
    <r>
      <rPr>
        <b/>
        <i/>
        <sz val="10"/>
        <color indexed="10"/>
        <rFont val="Times New Roman"/>
        <family val="1"/>
      </rPr>
      <t>Trường Mầm non Bình Xa:</t>
    </r>
    <r>
      <rPr>
        <b/>
        <sz val="10"/>
        <color indexed="10"/>
        <rFont val="Times New Roman"/>
        <family val="1"/>
      </rPr>
      <t xml:space="preserve">
</t>
    </r>
    <r>
      <rPr>
        <sz val="10"/>
        <color indexed="10"/>
        <rFont val="Times New Roman"/>
        <family val="1"/>
      </rPr>
      <t>XD 01 khu thể thao, sân chơi có mái che</t>
    </r>
  </si>
  <si>
    <r>
      <t xml:space="preserve">Trường Tiểu học Bình Xa:
</t>
    </r>
    <r>
      <rPr>
        <sz val="10"/>
        <color indexed="10"/>
        <rFont val="Times New Roman"/>
        <family val="1"/>
      </rPr>
      <t>XD 01 phòng kho; 01 nhà vệ sinh giáo viên</t>
    </r>
  </si>
  <si>
    <t>Đường huyện</t>
  </si>
  <si>
    <t xml:space="preserve">Nâng cấp, cải tạo chợ xã </t>
  </si>
  <si>
    <t>Xây dựng công trình thoát nước thải khu dân cư</t>
  </si>
  <si>
    <t>NS phân bổ QĐ 74</t>
  </si>
  <si>
    <t>XD hạng mục xử lý nước thải cụm công nghiệp Tân Thành</t>
  </si>
  <si>
    <t>NQ 88</t>
  </si>
  <si>
    <r>
      <t xml:space="preserve">Xây dựng mới 06 Nhà văn hoá thôn gồm: Nhà Văn hóa thôn Bắc Ngõa, Đầm Hồng 3, Đầm Hồng 1, </t>
    </r>
    <r>
      <rPr>
        <sz val="10"/>
        <color indexed="10"/>
        <rFont val="Times New Roman"/>
        <family val="1"/>
      </rPr>
      <t xml:space="preserve">Nà Tuộc, Kim Ngọc, Nà Ngà </t>
    </r>
  </si>
  <si>
    <r>
      <t xml:space="preserve">Nâng cấp sửa chữa nâng cấp </t>
    </r>
    <r>
      <rPr>
        <sz val="10"/>
        <color indexed="10"/>
        <rFont val="Times New Roman"/>
        <family val="1"/>
      </rPr>
      <t xml:space="preserve">03  Nhà văn hoá thôn gồm: Ngọc An, Bản Đâng, Nà Bây </t>
    </r>
  </si>
  <si>
    <t>Hỗ trợ mua trang thiết bị NVH xã</t>
  </si>
  <si>
    <t>BIỂU TỔNG HỢP, CHI TIẾT  KẾ HOẠCH VỐN TẠI XÃ  ĐĂNG KÝ  ĐẠT CHUẨN NÔNG THÔN MỚI, 
 XÃ ĐĂNG KÝ ĐẠT CHUẨN NÔNG THÔN MỚI NÂNG CAO VÀ 02 XÃ ĐĂNG KÝ ĐẠT CHUẨN NÔNG THÔN MỚI KIỂU MẪU NĂM 2023</t>
  </si>
  <si>
    <t>Vốn còn thiếu chưa xác định được nguồn</t>
  </si>
  <si>
    <t>Vốn hỗ trợ theo Nghị quyết số 03/2021/NQ-HĐND (hỗ trợ hầm Biogas hoặc bể tự hoại)</t>
  </si>
  <si>
    <t>Vốn Giảm nghèo</t>
  </si>
  <si>
    <t>Vốn Dân tộc thiểu số và MN</t>
  </si>
  <si>
    <t>CỘNG TỔNG (A+B+C):</t>
  </si>
  <si>
    <t>Xây dựng đường trục xã</t>
  </si>
  <si>
    <t>Xây dựng trường Mầm non</t>
  </si>
  <si>
    <t>Xây dựng trường Tiểu học</t>
  </si>
  <si>
    <t>Xây dựng trường Trung học cơ sở</t>
  </si>
  <si>
    <t>Xây dựng, nâng cấp nhà văn hóa trung tâm xã</t>
  </si>
  <si>
    <t>Xây dựng sân thể thao xã</t>
  </si>
  <si>
    <t>Xây dựng, nâng cấp nhà văn hóa thôn</t>
  </si>
  <si>
    <t>Hỗ trợ trang thiết bị nhà văn hóa thôn, xã</t>
  </si>
  <si>
    <t>Xóa nhà tạm, dột nát cho hộ nghèo, cận nghèo</t>
  </si>
  <si>
    <t>Xây dựng, nâng cấp trạm Y tế xã</t>
  </si>
  <si>
    <t>Môi trường và an toàn thực phẩm; chất lượng môi trường sống</t>
  </si>
  <si>
    <t>Xây dựng, nâng cấp công trình cấp nước sinh hoạt tập trung</t>
  </si>
  <si>
    <t>Xây dựng nghĩa trang theo quy hoạch</t>
  </si>
  <si>
    <t>Xây dựng công trình hầm bể Biogas và bể tự hoại</t>
  </si>
  <si>
    <t>CHI TIẾT KẾ HOẠCH VỐN XÃ ĐĂNG KÝ ĐẠT CHUẨN NÔNG THÔN MỚI</t>
  </si>
  <si>
    <t>Xã Khâu Tinh, huyện Na Hang</t>
  </si>
  <si>
    <t>Đường giao thông trục xã: Đoạn Tát Kẻ - Bến thuyền</t>
  </si>
  <si>
    <t>Bê tông hóa đường trục thôn, đường ngõ xóm</t>
  </si>
  <si>
    <t>Điện: Đường điện khu dân cư Tát Kẻ; Khu dân cư Khau Tinh, Khu dân Cư Khau Phiêng</t>
  </si>
  <si>
    <t>Trường Mầm non</t>
  </si>
  <si>
    <t>XD cổng, hàng rào, nhà để xe, bảo vệ</t>
  </si>
  <si>
    <t xml:space="preserve">XD nhà hiệu bộ 2 tầng/8 phòng </t>
  </si>
  <si>
    <t xml:space="preserve">XD nhà bếp </t>
  </si>
  <si>
    <t>Sửa chữa phòng học</t>
  </si>
  <si>
    <t>XD nhà vệ sinh giáo viên</t>
  </si>
  <si>
    <t>XD nhà công vụ giáo viên và bếp ăn học sinh điểm trưởng Nà Tạng</t>
  </si>
  <si>
    <t>Nhà bếp và dụng cụ nấu ăn, trang thiết bị nhà bếp điểm trường thôn Khau Tinh</t>
  </si>
  <si>
    <t>XD 01 phòng học điểm trường Nà Tạng</t>
  </si>
  <si>
    <t>Trang thiết bị dạy học, đồ dụng đổ chơi 03 điểm trường (các phòng học mới xây)</t>
  </si>
  <si>
    <t>Dụng cụ nấu ăn và trang thiết bị nhà bếp 02 điểm trường (điểm trường chính và Nà Tạng)</t>
  </si>
  <si>
    <t>Trường Ban trú Tiểu học và THCS</t>
  </si>
  <si>
    <t>XD nhà lớp học, phòng học bộ môn 03 tầng/15 phòng</t>
  </si>
  <si>
    <t>XD nhà bán trú học sinh 3 tầng/21 phòng</t>
  </si>
  <si>
    <t xml:space="preserve">XD 06 phòng học bộ môn điểm trường chính </t>
  </si>
  <si>
    <t>XD công trình phụ trợ điểm trường chính (Cổng, hàng rào, phòng bảo vệ, nhà để xe)</t>
  </si>
  <si>
    <t>XD nhà công vụ giáo viên điểm trường chính 20 phòng</t>
  </si>
  <si>
    <t>Thiết bị dạy học, bàn ghế các điểm trường (các phòng mới xây)</t>
  </si>
  <si>
    <t xml:space="preserve">XD nhà đa năng </t>
  </si>
  <si>
    <t>Xây dựng mới nhà văn hóa xã</t>
  </si>
  <si>
    <t>Sân thể thao của xã</t>
  </si>
  <si>
    <t>XD mới  nhà văn hóa thôn Tát kẻ</t>
  </si>
  <si>
    <t>Trang thiết bị, tủ sách nhà văn hóa thôn</t>
  </si>
  <si>
    <t>Trang thiết bị, tủ sách nhà văn hóa xã</t>
  </si>
  <si>
    <t>Mua máy vi tính, đầu quét phục vụ khám chữa bệnh điện tử</t>
  </si>
  <si>
    <t>bộ</t>
  </si>
  <si>
    <t>Chỉ tiêu 17.3: XD lò đốt rác tập trung 04 thôn</t>
  </si>
  <si>
    <t>Lò</t>
  </si>
  <si>
    <t>XD công, hàng rào, đường vào (L=20 m) nghĩa trang xã</t>
  </si>
  <si>
    <t>CHI TIẾT KẾ HOẠCH VỐN XÃ ĐĂNG KÝ ĐẠT CHUẨN NÔNG THÔN MỚI NÂNG CAO</t>
  </si>
  <si>
    <t>Xã Hồng Thái, huyện Na Hang</t>
  </si>
  <si>
    <t>Quy hoạch khu trung tâm xã</t>
  </si>
  <si>
    <t>Đường trục xã: Điện chiếu sáng</t>
  </si>
  <si>
    <t>km</t>
  </si>
  <si>
    <t>Đường trục thôn: Điện chiếu sáng</t>
  </si>
  <si>
    <t xml:space="preserve">Trường Mầm non: </t>
  </si>
  <si>
    <t>XD nhà bếp và dụng cụ nấu ăn, thết bị nhà bếp 03 điểm trường</t>
  </si>
  <si>
    <t>XD mái che sân chơi 05 điểm trường</t>
  </si>
  <si>
    <t>Đồ chơi ngoài trời 05 điểm trường</t>
  </si>
  <si>
    <t>ĐT</t>
  </si>
  <si>
    <t xml:space="preserve">Trường bán trú Tiểu học và THCS: </t>
  </si>
  <si>
    <t>XD 10 phòng chức năng và thiết bị điểm trường chính</t>
  </si>
  <si>
    <t>Cơ sở hạ tầng thương mại</t>
  </si>
  <si>
    <t>XD đường giao thông vào chợ</t>
  </si>
  <si>
    <t>XD hệ thống điện, nước cho chợ</t>
  </si>
  <si>
    <t>XD hạng mục phụ trợ, nhà vệ sinh</t>
  </si>
  <si>
    <t xml:space="preserve">DỰ TOÁN VỐN ĐẦU TƯ PHÁT TRIỂN NGUỒN NGÂN SÁCH TRUNG ƯƠNG
 THỰC HIỆN CHƯƠNG TRÌNH MỤC TIÊU QUỐC GIA XÂY DỰNG NTM TỈNH TUYÊN QUANG NĂM 2023
</t>
  </si>
  <si>
    <t xml:space="preserve">Hệ số và kế hoạch vốn hỗ trợ đầu tư năm 2023 </t>
  </si>
  <si>
    <t xml:space="preserve">Đơn vị tính 
</t>
  </si>
  <si>
    <t xml:space="preserve">Kế hoạch vốn giao </t>
  </si>
  <si>
    <t>Tổng nhu cầu vốn tại Quyết định số 342/QĐ-UBND ngày 05/6/2021</t>
  </si>
  <si>
    <t xml:space="preserve">Vốn đã bố trí tại Quyết định số 342/QĐ-UBND ngày 05/6/2021 </t>
  </si>
  <si>
    <t>Tổng nhu cầu vốn tại Quyết định số 159/QĐ-UBND ngày 26/4/2021</t>
  </si>
  <si>
    <t xml:space="preserve">Vốn đã bố trí tại Quyết định   số 159/QĐ-UBND ngày 26/4/2021 </t>
  </si>
  <si>
    <t>Tổng nhu cầu vốn tại Quyết định số 659/QĐ-UBND ngày 30/11/2022</t>
  </si>
  <si>
    <t>Vốn đã bố trí tại Quyết định số 659/QĐ-UBND ngày 30/11/2022</t>
  </si>
  <si>
    <t>Vốn đã bố trí tại Quyết định số 426/QĐ-UBND ngày 01/7/2022</t>
  </si>
  <si>
    <t>Hoàn trả vốn cho các Quyết định đã được UBND tỉnh phê duyệt  năm 2021-2022</t>
  </si>
  <si>
    <t>Vốn đã bố trí tại Quyết định số 705/QĐ-UBND ngày 29/12/2022 (ngân sách tỉnh)</t>
  </si>
  <si>
    <t>Số kinh phí để đề xuất đầu tư năm 2023</t>
  </si>
  <si>
    <t>Quyết định số 159/QĐ-UBND ngày 26/4/2021</t>
  </si>
  <si>
    <t>Quyết định số 342/QĐ-UBND ngày 05/6/2021</t>
  </si>
  <si>
    <t>Quyết định số 659/QĐ-UBND ngày 30/11/2022</t>
  </si>
  <si>
    <t>Hệ số vốn hỗ trợ huyện, xã</t>
  </si>
  <si>
    <t>Mức hỗ trợ theo hệ số</t>
  </si>
  <si>
    <t xml:space="preserve">TỔNG </t>
  </si>
  <si>
    <t>Vốn dự phòng 10%/vốn 2023</t>
  </si>
  <si>
    <t>Hỗ trợ theo hệ số huyện (20 hệ số) và hệ số xã (109 hệ số)</t>
  </si>
  <si>
    <t xml:space="preserve">Chi tiết kế hoạch vốn theo hệ số </t>
  </si>
  <si>
    <t xml:space="preserve">Huyện Lâm Bình (theo hệ số xã) </t>
  </si>
  <si>
    <t>Đường vào khu dân cư và vùng sản xuất hàng hoá Khuôn Nghè, thôn Phiêng Rào (giai đoạn 2) chiều dài khoảng 1 km.</t>
  </si>
  <si>
    <t>Đường vào khu dân cư và vùng sản xuất hàng hoá Khuôn Nghè thôn Phiêng Rào, chiều dài khoảng 1 km</t>
  </si>
  <si>
    <t>Ct</t>
  </si>
  <si>
    <t>Đường liên thôn Nà Kiếm đi ngã 3 thôn Khâu Pồng xã Yên Hoa khoảng 3km</t>
  </si>
  <si>
    <t>Xây dựng đường trục thôn thôn An Lạc  (Theo Nghị quyết số 55/2020/NQ-HĐND ngày 20/11/2020 của HĐND tỉnh</t>
  </si>
  <si>
    <t>Xây dựng đường trục thôn thôn Tân Tiến (Theo Nghị quyết số 55/2020/NQ-HĐND ngày 20/11/2020 của HĐND tỉnh</t>
  </si>
  <si>
    <t>Thuỷ lợi</t>
  </si>
  <si>
    <t>LB</t>
  </si>
  <si>
    <t>Xây dựng kè phòng chống thiên tai Cốc Ngịu, thôn Nà Hu, xã Khuôn Hà</t>
  </si>
  <si>
    <t>Xây đập thủy lợi Nặm Lặt-Phia Léc thôn Bản Vèn</t>
  </si>
  <si>
    <t>Kè bờ suối chống sạt lở ruộng thôn Nà Đồn (dài 200 m, cao 2,5m)</t>
  </si>
  <si>
    <t>NH</t>
  </si>
  <si>
    <t>CH</t>
  </si>
  <si>
    <t>Nâng cấp đập thủy lợi Bản Đoàn, thôn Lăng Quậy</t>
  </si>
  <si>
    <t>YS</t>
  </si>
  <si>
    <t>Xây dựng nhà Hiệu bộ trường Mầm non Trung Hòa</t>
  </si>
  <si>
    <t>Xây dựng mới 01 phòng học máy tính trường Tiểu học Tân Thịnh</t>
  </si>
  <si>
    <t>HY</t>
  </si>
  <si>
    <t>Xây dựng công trình phụ trợ phân hiệu An Lập, trường Mầm non Thái Bình, xã Thái Bình</t>
  </si>
  <si>
    <t>SD</t>
  </si>
  <si>
    <t>Làm cổng và tường rào trường tiểu học Tràng Đà</t>
  </si>
  <si>
    <t>TP</t>
  </si>
  <si>
    <t xml:space="preserve">Xây dựng phòng  học (02 phòng) trường mầm non Tràng Đà </t>
  </si>
  <si>
    <t>Xây dựng phòng học (06 phòng) trường tiểu học Thái Long</t>
  </si>
  <si>
    <t>Nước sạch nông thôn</t>
  </si>
  <si>
    <t>Sửa chữa công trình nước sinh hoạt thôn Khuôn Khoai</t>
  </si>
  <si>
    <t>Xây dựng bể bơi (huyện HY)</t>
  </si>
  <si>
    <t>Cơ sở vật chất văn hoá</t>
  </si>
  <si>
    <t>Xây dựng nhà văn hoá thôn Đa Thọ (Theo Nghị quyết số 88/NQ-HĐND ngày 21/12/2021 của HĐND tỉnh)</t>
  </si>
  <si>
    <t>Xây dựng nhà văn hoá thôn Vi Lăng (Theo Nghị quyết số 88/NQ-HĐND ngày 21/12/2021 của HĐND tỉnh)</t>
  </si>
  <si>
    <t>Xây dựng nhà văn hoá thôn Lộ Viên (Theo Nghị quyết số 88/NQ-HĐND ngày 21/12/2021 của HĐND tỉnh)</t>
  </si>
  <si>
    <t>Xây dựng nhà văn hoá thôn Cầu Kỳ (Theo Nghị quyết số 88/NQ-HĐND ngày 21/12/2021 của HĐND tỉnh)</t>
  </si>
  <si>
    <t>Xây dựng nhà văn hoá thôn Tân Phú (Theo Nghị quyết số 88/NQ-HĐND ngày 21/12/2021 của HĐND tỉnh)</t>
  </si>
  <si>
    <t>VII</t>
  </si>
  <si>
    <t xml:space="preserve">VIII </t>
  </si>
  <si>
    <t>Thông tin và truyền thông</t>
  </si>
  <si>
    <t>IX</t>
  </si>
  <si>
    <t>Chi tiết theo huyện</t>
  </si>
  <si>
    <t xml:space="preserve">Huyện Lâm Bình </t>
  </si>
  <si>
    <t>Xã Thổ Bình</t>
  </si>
  <si>
    <t>Khuôn Hà</t>
  </si>
  <si>
    <t>Hỗ trợ đầu tư 04 xã: Năng Khả, Hồng Thái, Côn Lôn, Thanh Tương</t>
  </si>
  <si>
    <t>Xã Năng Khả</t>
  </si>
  <si>
    <t xml:space="preserve">Xã Hồng Thái </t>
  </si>
  <si>
    <t>Xã Côn Lôn</t>
  </si>
  <si>
    <t xml:space="preserve">Xã Thanh Tương </t>
  </si>
  <si>
    <t xml:space="preserve">Huyện Chiêm Hoá </t>
  </si>
  <si>
    <t>Xã Xuân Quang</t>
  </si>
  <si>
    <t>Xã Trung Hòa</t>
  </si>
  <si>
    <t>Yên Nguyên</t>
  </si>
  <si>
    <t>Xã Hòa Phú</t>
  </si>
  <si>
    <t>Xã Tân Thịnh</t>
  </si>
  <si>
    <r>
      <t xml:space="preserve">Huyện Hàm Yên </t>
    </r>
    <r>
      <rPr>
        <b/>
        <i/>
        <sz val="10"/>
        <rFont val="Times New Roman"/>
        <family val="1"/>
      </rPr>
      <t>(hỗ trợ theo hệ số huyện)</t>
    </r>
  </si>
  <si>
    <t>Hỗ trợ theo hệ số huyện</t>
  </si>
  <si>
    <t xml:space="preserve">Huyện Yên Sơn </t>
  </si>
  <si>
    <t>Xã Thái Bình</t>
  </si>
  <si>
    <t>Xã Chiêu Yên</t>
  </si>
  <si>
    <t>Xã Chân Sơn</t>
  </si>
  <si>
    <t>Xã Phúc Ninh</t>
  </si>
  <si>
    <r>
      <t xml:space="preserve">Huyện Sơn Dương </t>
    </r>
    <r>
      <rPr>
        <b/>
        <i/>
        <sz val="10"/>
        <color indexed="8"/>
        <rFont val="Times New Roman"/>
        <family val="1"/>
      </rPr>
      <t>(hỗ trợ theo hệ số xã)</t>
    </r>
  </si>
  <si>
    <t>Xã Sơn Nam</t>
  </si>
  <si>
    <t>Thành phố Tuyên Quang</t>
  </si>
  <si>
    <t>Xã Tràng Đà</t>
  </si>
  <si>
    <t>Xã Thái Long</t>
  </si>
  <si>
    <t>Chênh với Lam</t>
  </si>
  <si>
    <t>Phải trả nợ Huy</t>
  </si>
  <si>
    <t>Phải trả nợ Lam</t>
  </si>
  <si>
    <t xml:space="preserve">Xây dựng mô hình tái chế chất thải hữu cơ, phụ phẩm nông nghiệp </t>
  </si>
  <si>
    <t>NTM 2023</t>
  </si>
  <si>
    <t>ND đóng góp</t>
  </si>
  <si>
    <t>Lắp đặt dụng cụ thể dục, thể thao ngoài trời, khu vui chơi công cộng</t>
  </si>
  <si>
    <t>Xây dựng, nâng cấp nhà văn hoá thôn</t>
  </si>
  <si>
    <t>Xây dựng, nâng cấp nhà văn hóa xã</t>
  </si>
  <si>
    <t>Đề án 55</t>
  </si>
  <si>
    <t>Xây dựng cầu, tường kè trên đường giao thông nông thôn</t>
  </si>
  <si>
    <t>Biểu 02</t>
  </si>
  <si>
    <t xml:space="preserve"> KẾ HOẠCH PHÂN BỔ VỐN  ĐẨU TƯ NGUỒN NGÂN SÁCH NHÀ NƯỚC CÁC CÔNG TRÌNH ĐẦU TƯ THỰC HIỆN 
CHƯƠNG TRÌNH MỤC TIÊU QUỐC GIA GIẢM NGHÈO BỀN VỮNG TRÊN ĐỊA BÀN TỈNH TUYÊN QUANG NĂM 2023
(DỰ ÁN 1. HỖ TRỢ ĐẦU TƯ PHÁT TRIỂN CƠ SỞ HẠ TẦNG KINH TẾ - XÃ HỘI CÁC HUYỆN NGHÈO)</t>
  </si>
  <si>
    <t>Đơn vị tính: Triệu đồng</t>
  </si>
  <si>
    <t>Danh mục dự án</t>
  </si>
  <si>
    <t>Địa điểm xây dựng</t>
  </si>
  <si>
    <t>Quy mô xây dựng</t>
  </si>
  <si>
    <t>Thời gian
 KC - HT</t>
  </si>
  <si>
    <t xml:space="preserve">Quyết định đầu tư </t>
  </si>
  <si>
    <t>Kế hoạch vốn đầu tư nguồn NSTW giai đoạn 2021-2025</t>
  </si>
  <si>
    <t>Lũy kế vốn đã bố trí đến hết kế hoạch năm 2022</t>
  </si>
  <si>
    <t>Kế hoạch vốn đầu tư năm 2023</t>
  </si>
  <si>
    <t>Chủ đầu tư</t>
  </si>
  <si>
    <t>Số quyết định; ngày, tháng, năm ban hành</t>
  </si>
  <si>
    <t>TMĐT dự kiến</t>
  </si>
  <si>
    <t>Tổng số tất cả các nguồn vốn</t>
  </si>
  <si>
    <t>Tổng số (tất cả các nguồn vốn)</t>
  </si>
  <si>
    <t>NSTW</t>
  </si>
  <si>
    <t>NSĐP</t>
  </si>
  <si>
    <t>NSĐP và các nguồn vốn hợp pháp</t>
  </si>
  <si>
    <t>GĐ 2021-2025</t>
  </si>
  <si>
    <t>NĂm 2023</t>
  </si>
  <si>
    <t>22 CT</t>
  </si>
  <si>
    <t>14 CT</t>
  </si>
  <si>
    <t>22-23</t>
  </si>
  <si>
    <t>tất cả các nguồn vốn</t>
  </si>
  <si>
    <t>TỔNG SỐ</t>
  </si>
  <si>
    <t>VỐN TỈNH QUẢN LÝ</t>
  </si>
  <si>
    <t>I.1</t>
  </si>
  <si>
    <t>Dự án khởi công mới năm 2023</t>
  </si>
  <si>
    <t>ok</t>
  </si>
  <si>
    <t>Dự án chuản bị đầu tư</t>
  </si>
  <si>
    <t>Đầu tư cơ sở vật chất các trường học trên địa bàn xã Khâu Tinh, phục vụ cụm liên xã Khâu Tinh, Yên Hoa, Côn Lôn</t>
  </si>
  <si>
    <t>Xã Khâu Tinh</t>
  </si>
  <si>
    <t>Nhà lớp học kết hợp phòng học bộ môn 03 tầng cấp III,  Nhà bán trú 03 tầng, cấp III;  Nhà hiệu bộ 02 tầng, cấp III; Xây dựng 01 nhà bếp và các hạng mục phụ trợ</t>
  </si>
  <si>
    <t>2022-2024</t>
  </si>
  <si>
    <t>Đầu tư cơ sở vật chất trường học tại Xã Năng Khả, phục vụ cụm liên xã Năng Khả, huyện Na Hang và xã Thượng Lâm, huyện Lâm Bình</t>
  </si>
  <si>
    <t>Nhà hiệu bộ 02 tầng, cấp III; Nhà 02 tầng, cấp III và các hạng mục phụ trợ</t>
  </si>
  <si>
    <t xml:space="preserve">Đầu tư cơ sở vật chất trường học xã Thượng Nông, phục vụ cụm liên xã Thượng Nông - xã Côn Lôn </t>
  </si>
  <si>
    <t xml:space="preserve"> Nhà hiệu bộ, nhà công vụ 02 tầng, cấp III; nhà bếp 01 tầng và các hạng mục phụ trợ</t>
  </si>
  <si>
    <t>II.1</t>
  </si>
  <si>
    <t>dự án chuyển tiếp năm 2022 sang  năm  2023</t>
  </si>
  <si>
    <t>Dự án KCM</t>
  </si>
  <si>
    <t>Nâng cấp đường giao thông Thổ Bình - Bình An</t>
  </si>
  <si>
    <t>Xã Thổ Bình, Bình An</t>
  </si>
  <si>
    <t>Đường cấp III miền núi, thiết kế theo tiêu chuẩn TCVN 4054:2005, Chiều dài khoảng 9km, chiều rộng mặt đường 6m</t>
  </si>
  <si>
    <t>2022-2025</t>
  </si>
  <si>
    <t>Đường giao thông Thổ Bình - Minh Quang</t>
  </si>
  <si>
    <t>Xã Minh Quang, Thổ Bình</t>
  </si>
  <si>
    <t>Đường giao thông cấp B, chiều dài khoảng 3km, mặt đường 3,5m; Điểm đầu là đường tỉnh ĐT188, điểm cuối kết nối với đường Quốc lộ 279; Xây dựng các công trình trên tuyến.</t>
  </si>
  <si>
    <t xml:space="preserve">I.2 </t>
  </si>
  <si>
    <t>Công cộng (Giao thông)</t>
  </si>
  <si>
    <t>dự án chuyển tiếp  năm  2022 sang năm 2023</t>
  </si>
  <si>
    <t>Xây dựng bến thủy huyện Lâm Bình</t>
  </si>
  <si>
    <t>Quy hoạch xây dựng Bến Phủng làm khu du lịch sinh thái huyện Lâm Bình, có diện tích khoảng 50ha</t>
  </si>
  <si>
    <t>VỐN HUYỆN QUẢN LÝ</t>
  </si>
  <si>
    <t>Giao thông (1)</t>
  </si>
  <si>
    <t xml:space="preserve"> Đường Giao thông liên xã Côn Lôn - Thượng Nông, huyện Na Hang, tỉnh Tuyên Quang</t>
  </si>
  <si>
    <t>Xã Côn Lôn, Thượng Nông</t>
  </si>
  <si>
    <t>Thiết kế theo tiêu chuẩn đường cấp B (TCVN 10380-2014), chiều dài khoảng 3 km; Chiều rộng nền đường Bnền ≥ 5,0 m; mặt đường Bmặt = 3,5 m</t>
  </si>
  <si>
    <t>Xây dựng hệ thống hạ tầng giao thông xã Đà Vị, huyện Na Hang kết nối sang xã Nam Mẫu, huyện Ba Bể, tỉnh Bắc Kạn</t>
  </si>
  <si>
    <t>Xã Đà Vị</t>
  </si>
  <si>
    <t xml:space="preserve"> - Thiết kế theo tiêu chuẩn đường cấp B (TCVN 10380-2014), chiều dài khoảng 510 m; Chiều rộng nền đường Bnền ≥ 5,0 m; mặt đường, Bmặt = 3,5 m)
 - Đường giao thông nông thôn khoảng 1,5km; Chiều rộng nền đường Bnền  ≥ 4,0 m; mặt đường Bmặt = 3,0 m)
 - Xây dựng đường  bê tông khoảng 0,2km; Đường giao thông khoảng 1,5km; Chiều rộng nền đường Bnền  ≥ 4,0 m; mặt đường Bmặt = 3,0 m)</t>
  </si>
  <si>
    <t>Đường giao thông thúc đẩy sản xuất gắn với du lịch xã Hồng Thái kết nối với xã Cổ Linh, huyện Pắc Nặm, tính Bắc  Kạn</t>
  </si>
  <si>
    <t>Xã Hồng Thái</t>
  </si>
  <si>
    <t>Thiết kế theo tiêu chuẩn đường cấp B miền núi (TCVN 10380-2014) chiều dài khoảng 2,5 Km</t>
  </si>
  <si>
    <t>Xây dựng hệ thống hạ tầng giao thông xã Khâu Tinh, huyện Na Hang phục vụ dân sinh và sản xuất</t>
  </si>
  <si>
    <t>Chiều dài khoảng 3,5km, Chiều rộng nền đường Bnền ≥ 4,0 m; mặt đường Bmặt = 3,0 m</t>
  </si>
  <si>
    <t>Xây dựng hệ thống hạ tầng giao thông xã Sinh Long kết nối với xã Đường Hồng, huyện Bắc Mê, tỉnh Hà Giang</t>
  </si>
  <si>
    <t>Xã Sinh Long</t>
  </si>
  <si>
    <t>Thiết kế theo tiêu chuẩn đường cấp B (TCVN 10380-2014), chiều dài 3 km. Chiều rộng nền đường Bnền ≥ 5,0 m; mặt đường, Bmặt = 3,5 m</t>
  </si>
  <si>
    <t>Đường giao thông xã Sinh Long, huyện Na Hang kết nối với xã Phiêng Luông, huyện Bắc Mê, tỉnh Hà Giang</t>
  </si>
  <si>
    <t xml:space="preserve">Thiết kế theo tiêu chuẩn đường cấp B (TCVN 10380-2014), chiều dài 2km. Chiều rộng nền đường Bnền ≥ 5,0 (4) m; mặt đường Bmặt = 3,5 (3,0) m </t>
  </si>
  <si>
    <t>Xây dựng hệ thống hạ tầng giao thông xã Sơn Phú phục vụ dân sinh và sản xuất kết nối với hồ thủy điện Tuyên Quang.</t>
  </si>
  <si>
    <t>Xã Sơn Phú</t>
  </si>
  <si>
    <t xml:space="preserve">Cải tạo, nâng cấp đạt tiêu chuẩn đường cấp VI miền núi, chiều dài khoảng 3 km. Chiều rộng nền đường Bnền ≥ 5,0 m; mặt đường Bmặt = 3,5 m. </t>
  </si>
  <si>
    <t>Xây dựng hệ thống hạ tầng giao thông thị trấn Na Hang phục vụ dân sinh và sản xuất kết nối với xã Sơn Phú</t>
  </si>
  <si>
    <t>Thị Trấn Na Hang</t>
  </si>
  <si>
    <t>Thiết kế theo tiêu chuẩn đường cấp B TCVN 10380-2014) Chiều dài khoảng 1,2 km. Chiều rộng nền đường Bnền  ≥ 4,0 m; mặt đường  Bmặt = 3,0 m</t>
  </si>
  <si>
    <t xml:space="preserve">Xây dựng hệ thống hạ tầng giao thông xã Yên Hoa kết nối các xã Khâu Tinh, Côn Lôn, Sinh Long, huyện Na Hang </t>
  </si>
  <si>
    <t>Xã Yên Hoa</t>
  </si>
  <si>
    <t xml:space="preserve">Thiết kế theo tiêu chuẩn đường cấp B (TCVN 10380-2014), chiều dài 300 m. Chiều rộng nền đường Bnền ≥ 5,0 m; mặt đường Bmặt = 3,5 m </t>
  </si>
  <si>
    <t>Xây dựng hệ thống hạ tầng giao thông xã Khâu Tinh đến thị trấn Na Hang</t>
  </si>
  <si>
    <t>Thiết kế theo tiêu chuẩn đường cấp B TCVN 10380-2014) Công trình dài khoảng 4km. Chiều rộng nền đường Bnền  ≥ 4,0 (03) m; mặt đường ≥ 3,0 (02) m</t>
  </si>
  <si>
    <t>I.2</t>
  </si>
  <si>
    <t>Giáo dục và đào tạo</t>
  </si>
  <si>
    <t>Dự án chuyển tiếp</t>
  </si>
  <si>
    <t>Đầu tư cơ sở vật chất các trường học xã Đà Vị phục vụ cụm liên xã Đà Vị - xã Hồng Thái</t>
  </si>
  <si>
    <t xml:space="preserve">  Nhà lớp học 2 tầng cấp III, Nhà bán trú 2 tầng cấp III;  Nhà Đa năng 01 tầng; Nhà công vụ giáo viên; bếp ăn</t>
  </si>
  <si>
    <t>Đầu tư cơ sở vật chất các trường học xã Hồng Thái phục vụ cụm liên xã Hồng Thái, Yên Hoa huyện Na Hang và xã Cổ Linh, Huyện Pắc Nặm.</t>
  </si>
  <si>
    <t xml:space="preserve">  Xây dựng nhà lớp học; Nhà bán trú 02 tầng cấp III; Nhà công vụ giáo viên; Nhà bếp và các hạng mục phụ trợ </t>
  </si>
  <si>
    <t>Đầu tư hoàn thiện cơ sở vật chất các Trường học trên địa bàn xã Thượng giáp và xã Sinh Long</t>
  </si>
  <si>
    <t>Xã Thượng Giáp, xã Sinh Long</t>
  </si>
  <si>
    <t xml:space="preserve"> - Nhà hiệu bộ 02 tầng, cấp III; (trường Mầm non xã Sinh Long)
 - Nhà hiệu bộ 02 tầng, cấp III (trường mầm non xã Thượng Giáp)</t>
  </si>
  <si>
    <t>Đầu tư cơ sở vật chất Trường PTDT Bán trú TH&amp;THCS Thanh Tương phục vụ cụm xã Thanh Tương và Thị trấn Na Hang</t>
  </si>
  <si>
    <t>Xã Thanh Tương</t>
  </si>
  <si>
    <t>Nhà ở Bán trú 02 tầng, cấp III; Nhà ăn, bếp ăn 01 tầng</t>
  </si>
  <si>
    <t>Đầu tư cơ sở vật chất trường Tiểu Học Yên Hoa, xã Yên Hoa, phục vụ cụm liên xã Yên Hoa, xã Côn Lôn và Xã Thượng Nông</t>
  </si>
  <si>
    <t>Nhà 02 tầng, cấp III và các hạng mục phụ trợ</t>
  </si>
  <si>
    <t>I.3</t>
  </si>
  <si>
    <t>Công cộng (Môi trường, Điện)</t>
  </si>
  <si>
    <t>Dự án  khởi công mới năm 2023</t>
  </si>
  <si>
    <t>dự án chuyển tiếp</t>
  </si>
  <si>
    <t>Xây dựng khu xử lý chất thải (quy mô 03 xã: Đà Vị, Yên Hoa, Hồng Thái)</t>
  </si>
  <si>
    <t>Xử lý chất thải cho trên 1.000 hộ</t>
  </si>
  <si>
    <t>Hệ thống cấp điện nông thôn trên địa bàn huyện Na Hang</t>
  </si>
  <si>
    <t>Xã Hồng Thái; Khâu Tinh; Yên Hoa; Thượng Giáp, Sinh Long</t>
  </si>
  <si>
    <t>Phục vụ người dân trên địa bàn các xã Hồng Thái; Khâu Tinh; Yên Hoa; Thượng Giáp, Sinh Long</t>
  </si>
  <si>
    <t>Đầu tư,  nâng cấp hệ thống cấp nước sinh hoạt cho khu dân cư tại các xã Đà Vị và Thượng Nông</t>
  </si>
  <si>
    <t>Xã Đà Vị, Thượng Nông</t>
  </si>
  <si>
    <t>Phục vụ người dân trên địa bàn các xã Xã Đà Vị, Thượng Nông</t>
  </si>
  <si>
    <t>I.4</t>
  </si>
  <si>
    <t>Giao thông (2)</t>
  </si>
  <si>
    <t xml:space="preserve"> Dự án KCM</t>
  </si>
  <si>
    <t>Cầu tràn liên hợp suối Phia Phoong, xã Thanh Tương kết nối giao thông với thị trấn Na Hang  phục vụ dân sinh và sản xuất</t>
  </si>
  <si>
    <t>Phục vụ vụ dân sinh và sản xuất của xã Thanh Tương và Thị trấn Na Hang</t>
  </si>
  <si>
    <t>2023-2024</t>
  </si>
  <si>
    <t>Dự án chuyen tiếp</t>
  </si>
  <si>
    <t>Cầu tràn và đường giao thông vào khu sản xuất Thẳm Đăm, thôn Tân Hoa, xã Bình An</t>
  </si>
  <si>
    <t>Xã Bình An</t>
  </si>
  <si>
    <t>Xây dựng cầu tràn có tổng chiều dài khoảng 12m; Đường giao thông có chiều dài khoảng 1km kết nối với đường tỉnh ĐT.188</t>
  </si>
  <si>
    <t>2022-2023</t>
  </si>
  <si>
    <t>Mở mới đường từ thôn Tiên Tốc, xã Bình An đến thôn Khuổi Xoan, xã Hồng Quang</t>
  </si>
  <si>
    <t>Xã Bình An, Hồng Quang</t>
  </si>
  <si>
    <t>Đường cấp B, chiều dài khoảng 5km, mặt đường 3,5 m</t>
  </si>
  <si>
    <t>Xây dựng đường giao thông xã Hồng Quang, Lâm Bình đến xã Hữu Sản, Bắc Quang, Hà Giang (Giai đoạn 1)</t>
  </si>
  <si>
    <t>Xã Hồng Quang, Lâm Bình.</t>
  </si>
  <si>
    <t xml:space="preserve"> - Tuyến 1: Mở mới 2 km đường giao thông cấp B, mặt đường rộng 3,5 m từ thôn Thượng Minh, xã Hồng Quang sang thôn Thượng Sơn, xã Hữu Sản, huyện Bắc Quang, tỉnh Hà Giang.
 - Tuyến 2: Cải tạo, nâng cấp khoảng 4,5 km đường giao thông cấp B, mặt đường rộng 3,5m từ thôn Bản Tha, xã Hồng Quang đi thôn Trung Sơn, xã Hữu Sản, huyện Bắc Quang, tỉnh Hà Giang.</t>
  </si>
  <si>
    <t>Mở mới đường từ bản Tha đến Pooi cũ,  đường thôn Bản Tha đi thôn Lung Luông, xã Hồng Quang</t>
  </si>
  <si>
    <t>Xã Hồng Quang</t>
  </si>
  <si>
    <t>Tuyến thôn Bản Tha đến Pooi: Chiều dài khoảng 2,5km kết nối với đường Quốc lộ 279; Tuyến  thôn Bản Tha đi thôn Lung Luông: Chiều dài 3 km kết nối với Quốc lộ 279</t>
  </si>
  <si>
    <t>II.2</t>
  </si>
  <si>
    <t>Đầu tư cơ sở vật chất Trường PTDTBT THCS Phúc Sơn phục vụ cụm liên xã Phúc Sơn và xã Minh Quang</t>
  </si>
  <si>
    <t>Nhà lớp học 02 tầng, cấp III và các hạng mục phụ trợ; Nhà hiệu bộ 02 tầng, cấp III phục vụ nhu cầu học tập cho học sinh xã Phúc Sơn và các xã lân cận</t>
  </si>
  <si>
    <t>Đầu tư cơ sở vật chất Trường PTDTBT THCS Bình An phục vụ cụm liên xã Bình An và Thổ Bình</t>
  </si>
  <si>
    <t>Nhà hiệu bộ 02 tầng, cấp III; Xây dựng nhà đa năng có diện tích xây dựng khoảng 420m2; phục vụ cho việc tập luyện thể dục thể thao và các sinh hoạt tập thể cho khoảng 250 học sinh xã Bình An và các xã lân cận</t>
  </si>
  <si>
    <t xml:space="preserve">II.3 </t>
  </si>
  <si>
    <t xml:space="preserve"> Cơ sở vật chất Văn hoá, Môi trường)</t>
  </si>
  <si>
    <t>Xây dựng công trình phục vụ nhu cầu về hoạt động văn hóa, thể thao cụm xã: Phúc Sơn, Minh Quang, Thổ Bình, Hồng Quang</t>
  </si>
  <si>
    <t>Xây dựng mới Nhà văn hóa khoảng 300 chỗ ngồi; Nâng cấp sân thể thao trung tâm xã khoảng 1,1ha  để phục vụ các hoạt động văn hóa, thể thao quy mô cụm xã</t>
  </si>
  <si>
    <t xml:space="preserve">Xây dựng nhà truyền thống dân tộc Pả Thẻn phục vụ bảo tồn văn hóa để phát triển du lịch trên địa bàn huyện </t>
  </si>
  <si>
    <t>Nhà sàn cấp IV, Diện tích sàn 260m, sân và các hạng mục phụ trợ khác nhằm bảo tồn, phát huy giá trị văn hóa truyền thống của dân tộc Pà Thẻn</t>
  </si>
  <si>
    <t>Đầu tư xây dựng đường ống nước sạch  liên xã Minh Quang và xã Hồng Quang</t>
  </si>
  <si>
    <t>Xã Minh Quang, Hồng Quang</t>
  </si>
  <si>
    <t>Cấp nước cho khoảng 800 hộ dân thuộc xã Minh Quang và xã Hồng Quang</t>
  </si>
  <si>
    <t xml:space="preserve">II.4 </t>
  </si>
  <si>
    <t>Xây kè chống sạt lở tại xã Xuân Lập</t>
  </si>
  <si>
    <t>Xã Xuân Lập</t>
  </si>
  <si>
    <t>Khu ruộng Nà Co: Kè chiều dài khoảng 350m bảo vệ đất lúa cho khoảng 40 hộ nghèo; Khu dân cư Xuân Tọ: Kè chiều dài khoảng 60m bảo vệ an toàn cho 18 nghèo với 88 khẩu.</t>
  </si>
  <si>
    <t>Xây dựng tuyến mương Thổ Bình - Minh Quang</t>
  </si>
  <si>
    <t>Xã Thổ Bình, Minh Quang</t>
  </si>
  <si>
    <t>Xây dựng tuyến kênh chiều dài khoảng 4km</t>
  </si>
  <si>
    <t xml:space="preserve">Đầu tư cơ sở vật chất các trường học </t>
  </si>
  <si>
    <t>GNBV 2023</t>
  </si>
  <si>
    <t>Xây dựng công trình xử lý nước thải, chất thải sinh hoạt tập trung</t>
  </si>
  <si>
    <t>Hệ thống cấp điện nông thôn</t>
  </si>
  <si>
    <t xml:space="preserve">Xây dựng nhà truyền thống dân tộc Pả Thẻn </t>
  </si>
  <si>
    <t>Thực hiện đầu tư tín dụng ngân hàng phục vụ phát triển nông nghiệp, nông dân, nông thôn</t>
  </si>
  <si>
    <t>Xây dựng mới, nâng cấp cải tạo trạm biến áp, đường dây trung áp, hạ áp</t>
  </si>
  <si>
    <t>Kế hoạch của Công ty điện lực</t>
  </si>
  <si>
    <t>Vốn dự án cấp điện nông thôn từ lưới điện quốc gia.</t>
  </si>
  <si>
    <t>Vốn dự án cấp điện nông thôn từ lưới điện quốc gia</t>
  </si>
  <si>
    <t>Nâng cấp, mở rộng đường, tuyến phố đô thị</t>
  </si>
  <si>
    <t>DTTS</t>
  </si>
  <si>
    <t>Vốn đề nghị TW hỗ trợ</t>
  </si>
  <si>
    <t>Trường THPT (tiêu chí huyện NTM)</t>
  </si>
  <si>
    <t>Xây dựng Trung tâm GDNN-GDTX huyện đạt kiểm định chất lượng giáo dục</t>
  </si>
  <si>
    <t xml:space="preserve">Xây dựng, nâng cấp sân thể thao xã </t>
  </si>
  <si>
    <t>NQ 32</t>
  </si>
  <si>
    <t>Nâng cấp cụm truyền thanh thôn</t>
  </si>
  <si>
    <t>Nâng cấp trạm truyền thanh xã</t>
  </si>
  <si>
    <t>Sửa chữa, nâng cấp Trung tâm Y tế huyện Sơn Dương (gồm cả mua sắm trang thiết bị y tế)</t>
  </si>
  <si>
    <t>Xây dựng nhà máy xử lý chất thải</t>
  </si>
  <si>
    <t xml:space="preserve">Xây dựng bãi chôn lấp rác thải của huyện </t>
  </si>
  <si>
    <t>Lắp đặt bể chứa bao bì thuốc BVTV sau sử dụng</t>
  </si>
  <si>
    <t>XD, nâng cấp công trình cấp nước tập trung</t>
  </si>
  <si>
    <t xml:space="preserve">Đường trục thôn, liên thôn </t>
  </si>
  <si>
    <t>Đường vận xuất</t>
  </si>
  <si>
    <t>Công trình đầu mối, kè phòng chống thiên tai, đập thủy lợi</t>
  </si>
  <si>
    <t>Trường tiểu học (gồm cả bán trú xã, DTNT huyện)</t>
  </si>
  <si>
    <t xml:space="preserve">KẾ HOẠCH PHÂN BỔ VỐN NGÂN SÁCH NHÀ NƯỚC THỰC HIỆN CHƯƠNG TRÌNH MỤC TIÊU QUỐC GIA
 GIẢM NGHÈO BỀN VỮNG  TỈNH TUYÊN QUANG NĂM 2023 </t>
  </si>
  <si>
    <t>(Ban hành kèm theo Kế hoạch số:     /KH-UBND ngày   tháng 3 năm 2022 của Ủy ban nhân dân tỉnh)</t>
  </si>
  <si>
    <t>Đơn vị</t>
  </si>
  <si>
    <t>Kế hoạch năm 2023</t>
  </si>
  <si>
    <r>
      <t xml:space="preserve">Sở ngành cấp tỉnh </t>
    </r>
    <r>
      <rPr>
        <sz val="14"/>
        <color indexed="8"/>
        <rFont val="Times New Roman"/>
        <family val="1"/>
      </rPr>
      <t xml:space="preserve"> </t>
    </r>
  </si>
  <si>
    <t>Trường Cao đẳng nghề KT-CN Tuyên Quang</t>
  </si>
  <si>
    <t xml:space="preserve"> Tổng toàn tỉnh</t>
  </si>
  <si>
    <t>Đầu tư</t>
  </si>
  <si>
    <t>SN</t>
  </si>
  <si>
    <t>Vốn ngân sách trung ương</t>
  </si>
  <si>
    <t xml:space="preserve"> - Vốn đầu tư </t>
  </si>
  <si>
    <t xml:space="preserve"> - Vốn sự nghiệp</t>
  </si>
  <si>
    <t>Vốn đối ứng ngân sách địa phương</t>
  </si>
  <si>
    <t>Phân bổ theo từng Dự án cụ thể</t>
  </si>
  <si>
    <t>Dự án 1. Hỗ trợ đầu tư phát triển hạ tầng kinh tế - xã hội  các huyện nghèo</t>
  </si>
  <si>
    <t>Vốn  ngân sách trung ương</t>
  </si>
  <si>
    <t>Dự án 2. Đa dạng hóa sinh kế, phát triển mô hình giảm nghèo (vốn sự nghiệp)</t>
  </si>
  <si>
    <t>Dự án 3. Hỗ trợ phát triển sản xuất, cải thiện dinh dưỡng</t>
  </si>
  <si>
    <t xml:space="preserve">Tiểu dự án 1: Hỗ trợ phát triển sản xuất trong lĩnh vực nông nghiệp </t>
  </si>
  <si>
    <t xml:space="preserve">Tiểu dự án 2: Cải thiện dinh dưỡng </t>
  </si>
  <si>
    <t>Dự án 4. Phát triển giáo dục nghề nghiệp, việc làm bền vững</t>
  </si>
  <si>
    <t xml:space="preserve">Tiểu dự án 1: Phát triển giáo dục nghề nghiệp vùng nghèo, vùng khó khăn </t>
  </si>
  <si>
    <t xml:space="preserve">Tiểu dự án 2: Hỗ trợ người lao động đi làm việc ở nước ngoài theo hợp đồng </t>
  </si>
  <si>
    <t xml:space="preserve">Tiểu dự án 3: Hỗ trợ việc làm bền vững  </t>
  </si>
  <si>
    <t>Tổng số  hộ</t>
  </si>
  <si>
    <t>Na hang</t>
  </si>
  <si>
    <t>Tổng số tiền</t>
  </si>
  <si>
    <t>Dự án 5 . Hỗ trợ nhà ở cho hộ nghèo, hộ cận nghèo trên địa bàn các huyện nghèo</t>
  </si>
  <si>
    <t xml:space="preserve">Dự án 6: Truyền thông và giảm nghèo về thông tin </t>
  </si>
  <si>
    <t xml:space="preserve">Tiểu dự án 1: Giảm nghèo về thông tin </t>
  </si>
  <si>
    <t>Tiểu dự án 2: Truyền thông về giảm nghèo đa chiều</t>
  </si>
  <si>
    <t xml:space="preserve">Dự án 7: Nâng cao năng lực và giám sát, đánh giá Chương trình  </t>
  </si>
  <si>
    <t>Tiểu dự án 1: Nâng cao năng lực thực hiện Chương trình</t>
  </si>
  <si>
    <t>7.2</t>
  </si>
  <si>
    <t>Tiểu dự án 2: Giám sát, đánh giá</t>
  </si>
  <si>
    <t>ỦY BAN NHÂN DÂN
HUYỆN YÊN SƠN</t>
  </si>
  <si>
    <t>BIỂU TỔNG HỢP, CHI TIẾT  KẾ HOẠCH VỐN TẠI 02 XÃ  ĐĂNG KÝ  ĐẠT CHUẨN NÔNG THÔN MỚI, 
02 XÃ ĐĂNG KÝ ĐẠT CHUẨN NÔNG THÔN MỚI NÂNG CAO VÀ 01 XÃ ĐĂNG KÝ ĐẠT CHUẨN NÔNG THÔN MỚI KIỂU MẪU NĂM 2023</t>
  </si>
  <si>
    <t>(Kèm theo Kế hoạch số       /KH-UBND  ngày        tháng  3  năm 2023 của UBND huyện)</t>
  </si>
  <si>
    <t>Tên công trình</t>
  </si>
  <si>
    <r>
      <t>Tổng cộng</t>
    </r>
    <r>
      <rPr>
        <sz val="10"/>
        <rFont val="Times New Roman"/>
        <family val="1"/>
      </rPr>
      <t xml:space="preserve"> (Triệu đồng)</t>
    </r>
  </si>
  <si>
    <t>Vốn NTM và vốn hợp pháp khác</t>
  </si>
  <si>
    <t>Xã Nhữ Khê, huyện Yên Sơn</t>
  </si>
  <si>
    <t>Xây dựng đường trục xã: Đoạn….</t>
  </si>
  <si>
    <t xml:space="preserve">- Trường Tiểu học Chiêu Yên: Xây dựng khối phòng hành chính quản  khối phòng học tập, hỗ trợ học tập và các công trình phụ trợ </t>
  </si>
  <si>
    <t xml:space="preserve">- Trường THCS Chiêu Yên: Xây dựng các phòng chức năng và công trình phụ trợ </t>
  </si>
  <si>
    <t xml:space="preserve">Xây dựng nhà văn hóa trung tâm xã </t>
  </si>
  <si>
    <t>Nâng cấp, sửa chữa nhà văn hóa xã và xây dựng các phòng chức năng</t>
  </si>
  <si>
    <t xml:space="preserve">Xây dựng sân thể thao trung tâm xã </t>
  </si>
  <si>
    <t xml:space="preserve">Hỗ trợ xây dựng nhà văn hóa thôn </t>
  </si>
  <si>
    <t>Hỗ trợ xây dựng nhà văn hóa thôn (Thọ Xuân, Đồng Thắng, Nhữ Khê)</t>
  </si>
  <si>
    <t>Hỗ trợ trang thiết bị nhà văn hóa thôn</t>
  </si>
  <si>
    <t>Xây dựng trạm y tế xã</t>
  </si>
  <si>
    <t>Xây dựng nghĩa trang theo quy hoạch xã Chiêu Yên, huyện Yên Sơn</t>
  </si>
  <si>
    <t>Xây dựng  bể biogas và tự hoại</t>
  </si>
  <si>
    <t>hộ</t>
  </si>
  <si>
    <t>Xã Xuân Vân</t>
  </si>
  <si>
    <t>Xã Đội Bình, huyện Yên Sơn</t>
  </si>
  <si>
    <t xml:space="preserve">- Trường Mần Non Xuân Vân: Xây dựng khối phòng hành chính quản trị, khối phụ trợ </t>
  </si>
  <si>
    <t xml:space="preserve">- Trường Tiểu học Xuân Vân: Xây dựng khối phòng học tập, hỗ trợ học tập và các công trình phụ trợ </t>
  </si>
  <si>
    <t xml:space="preserve">- Trường Trung học cơ sởXuân Vân: Xây dựng khối phòng học và các công trình phụ trợ trường </t>
  </si>
  <si>
    <t>Xây dựng sân thể thao trung tâm xã</t>
  </si>
  <si>
    <t>Xây dựng nhà văn hóa thôn</t>
  </si>
  <si>
    <t>Sửa chữa nhà văn hóa thôn</t>
  </si>
  <si>
    <t xml:space="preserve">Thôn </t>
  </si>
  <si>
    <t xml:space="preserve">Xây dựng nghĩa trang theo quy hoạch xã </t>
  </si>
  <si>
    <t>Trường Mầm Non Phúc Ninh</t>
  </si>
  <si>
    <t>Xây dựng khối phòng học, bếp ăn và các công trình phụ trợ điểm trường Cầu Giát</t>
  </si>
  <si>
    <t>Trường Mầm non: Nâng cấp sửa chữa điểm trường Kim Thu Ngà, Khuân Hẻ</t>
  </si>
  <si>
    <t>Xây dựng khối phong học, bếp ăn và các công trình phụ trợ điểm trường Lục Mùn</t>
  </si>
  <si>
    <t>Xây dựng nhà công vụ, nhà hiệu bộ, bếp ăn và các công trình phụ trợ điểm trường trung tâm</t>
  </si>
  <si>
    <t>Trường THCS Phúc Ninh</t>
  </si>
  <si>
    <t>Nâng cấp, sửa chữa các công trình phụ trợ</t>
  </si>
  <si>
    <t>Trường Tiểu học Phúc Ninh</t>
  </si>
  <si>
    <t xml:space="preserve">Xây dựng bể bơi </t>
  </si>
  <si>
    <t>Xã Kim Quan</t>
  </si>
  <si>
    <t>Trường Mầm Non Kim Quan</t>
  </si>
  <si>
    <t>- Nâng cấp sửa chữa điểm trường Kim Thu Ngà, Làng Phát; 
- Xây dựng dựng bếp ăn điểm trường Làng Phát</t>
  </si>
  <si>
    <t xml:space="preserve">Trường Tiểu học Kim Quan: </t>
  </si>
  <si>
    <t xml:space="preserve">Xây dựng khối phòng học tập và các công trình phụ trợ điểm trường trung tâm; </t>
  </si>
  <si>
    <t>Nâng cấp sửa chữa điểm trường Kim Thu Ngà, Khuân Hẻ</t>
  </si>
  <si>
    <t>Trường Trung học cơ sở Kim Quan</t>
  </si>
  <si>
    <t xml:space="preserve">Xây dựng khối phòng học tập  </t>
  </si>
  <si>
    <t>Nâng cấp,Sửa chữa  khối phòng học tập và hỗ trợ học tập</t>
  </si>
  <si>
    <t>Xã Mỹ Bằng</t>
  </si>
  <si>
    <t xml:space="preserve">- Trường Mầm Non Mỹ Bằng: Xây dựng khối phòng hành chính quản trị, khối phòng nuôi dưỡng chăm sóc và giáo dục trẻ em, và các công trình phụ trợ khác điểm trường trung tâm , khối phòng tổ chức ăn điểm 15, cây quýt </t>
  </si>
  <si>
    <t xml:space="preserve">- Trường Mần Non Đình Bằng: Xây dựng khối phòng hành chính quản trị, khối phòng nuôi dưỡng chăm sóc và giáo dục trẻ em, khối phòng tổ chức ăn điểm  và các công trình phụ trợ khác điểm trường trung tâm,  khối phòng tổ chức ăn điểm Đoàn Kết, Đá Bàn </t>
  </si>
  <si>
    <t xml:space="preserve">Trường mầm non Đình Bằng: </t>
  </si>
  <si>
    <t xml:space="preserve">Xây dựng 03 phòng học và các phòng hỗ trợ học tập Trường tiểu học Y Bằng </t>
  </si>
  <si>
    <t xml:space="preserve">Trường TH Y Bằng: </t>
  </si>
  <si>
    <t xml:space="preserve">- Trường Tiểu học Mỹ Lâm: Xây dựng khối phòng hành chính quản trị, khối phòng học tập, hỗ trợ học tập và các công trình phụ trợ </t>
  </si>
  <si>
    <t>Trường TH Mỹ Lâm: Xây dựng 03 phòng quản trị, 04 phòng học, 06 phòng bộ môn, 02 phòng hỗ trợ học tập, 01 phòng phụ trợ, 01 nhà đa năng, 01 khu luyện tập có mái che</t>
  </si>
  <si>
    <t xml:space="preserve">- Trường Trung học cơ sở Mỹ Bằng: Xây dựng khối phòng hành chính quản trị, khối học tập, hỗ trợ học tập và các công trình phục trợ khác </t>
  </si>
  <si>
    <t xml:space="preserve">Trường THCS Mỹ Bằng: </t>
  </si>
  <si>
    <t>TỔNG HỢP, CHI TIẾT KẾ HOẠCH, NHU CẦU VỐN
THỰC HIỆN CHƯƠNG TRÌNH MTQG XÂY DỰNG NÔNG THÔN MỚI TỈNH TUYÊN QUANG NĂM 2023</t>
  </si>
  <si>
    <t>PHÂN NGUỒN KẾ HOẠCH, NHU CẦU VỐN
THỰC HIỆN CHƯƠNG TRÌNH MTQG XÂY DỰNG NÔNG THÔN MỚI TỈNH TUYÊN QUANG NĂM 2023</t>
  </si>
  <si>
    <r>
      <t xml:space="preserve">Sở ngành cấp tỉnh </t>
    </r>
    <r>
      <rPr>
        <sz val="14"/>
        <color indexed="8"/>
        <rFont val="Times New Roman"/>
        <family val="1"/>
      </rPr>
      <t xml:space="preserve"> </t>
    </r>
  </si>
  <si>
    <t>KH kiến cố hoá kênh mương 2023</t>
  </si>
  <si>
    <t>Chương trình MTQG phát triển kinh tế vùng đồng bào DTTS</t>
  </si>
  <si>
    <t>Xây dựng, nâng cấp trạm y tế xã</t>
  </si>
  <si>
    <t>Chương trình ĐTPT mạng lưới y tế cơ sở vùng khó khăn giai đoạn 2021-2025, vốn ADB</t>
  </si>
  <si>
    <t>Đào tạo nghề cho lao động nông thôn theo các chương trình MTQG</t>
  </si>
  <si>
    <t>Vốn cần bổ sung</t>
  </si>
  <si>
    <t>Quỹ vì người nghèo (thực hiện tiêu chí nhà ở dân cư)</t>
  </si>
  <si>
    <t>Vốn sự nghiệp</t>
  </si>
  <si>
    <t>GNBV</t>
  </si>
  <si>
    <t>NTM</t>
  </si>
  <si>
    <t>GNBV SN</t>
  </si>
  <si>
    <t>DTTS SN</t>
  </si>
  <si>
    <t>NTM SN</t>
  </si>
  <si>
    <t>Kênh mương</t>
  </si>
  <si>
    <t>KH điện</t>
  </si>
  <si>
    <t>Đề nghị TW hỗ trợ</t>
  </si>
  <si>
    <t>CT y tế</t>
  </si>
  <si>
    <t>ĐA 55</t>
  </si>
  <si>
    <t>Biểu số 02:</t>
  </si>
  <si>
    <t>Biểu số 01:</t>
  </si>
  <si>
    <t>Thực hiện các dự án phát triển sản xuất theo các CTMTQG</t>
  </si>
  <si>
    <t>Chia theo huyện, thành phố</t>
  </si>
  <si>
    <t>Thông tin  và truyền thông</t>
  </si>
  <si>
    <t xml:space="preserve">Nâng cấp Trung tâm phát thanh của Trung tâm văn hóa Truyền thông - thể thao huyện </t>
  </si>
  <si>
    <t>Cụm</t>
  </si>
  <si>
    <t>Kế hoạch kiên cố hóa kênh mương giai đoạn 2021-2025 (Nghị quyết 09/2020/NQ-HĐND)</t>
  </si>
  <si>
    <t>Kế hoạch BTH đường GTNT và cầu trên đường GTNT giai đoạn 2021-2025 (Nghị quyết 55)</t>
  </si>
  <si>
    <t xml:space="preserve">Dự án cấp điện từ lưới điện quốc gia </t>
  </si>
  <si>
    <t>Đề án xây dựng nhà văn hóa thôn, tổ dân phố gắn với sân thể thao và khuôn viên giai đoạn 2021 -2025 (Nghị quyết 88)</t>
  </si>
  <si>
    <t>MỤC TIÊU QUỐC GIA XÂY DỰNG NÔNG THÔN MỚI TỈNH TUYÊN QUANG, NĂM 2023</t>
  </si>
  <si>
    <t>Nội dung công việc</t>
  </si>
  <si>
    <t>Cơ quan chủ trì</t>
  </si>
  <si>
    <t>Cơ quan phối hợp</t>
  </si>
  <si>
    <t>Thời gian hoàn thành</t>
  </si>
  <si>
    <t>Hình thức văn bản</t>
  </si>
  <si>
    <t>Sở Kế hoạch và Đầu tư</t>
  </si>
  <si>
    <t>Các sở, ban, ngành, Văn phòng điều phối NTM tỉnh, UBND huyện, thành phố</t>
  </si>
  <si>
    <t xml:space="preserve">Quyết định </t>
  </si>
  <si>
    <r>
      <t xml:space="preserve">Rà soát Đề án xây dựng nông thôn mới huyện Hàm Yên giai đoạn 2021-2025 đã được UBND tỉnh phê duyệt tại Quyết định số 360/QĐ-UBND ngày 08/6/2021 để đề xuất giải pháp điều chỉnh, bổ sung đảm bảo phù hợp với thực tế của tỉnh </t>
    </r>
    <r>
      <rPr>
        <i/>
        <sz val="13"/>
        <rFont val="Times New Roman"/>
        <family val="1"/>
      </rPr>
      <t>(trường hợp phát sinh nội dung cần điều chỉnh, bổ sung)</t>
    </r>
    <r>
      <rPr>
        <sz val="13"/>
        <rFont val="Times New Roman"/>
        <family val="1"/>
      </rPr>
      <t>.</t>
    </r>
  </si>
  <si>
    <t>Cơ quan, đơn vị liên quan.</t>
  </si>
  <si>
    <t>Sở Nông nghiệp và PTNT</t>
  </si>
  <si>
    <t>Các sở, ban, ngành liên quan,UBND các huyện, thành phố; các xã mục tiêu theo kế hoạch</t>
  </si>
  <si>
    <t>Các sở, ban, ngành liên quan; các xã mục tiêu theo Đề án</t>
  </si>
  <si>
    <t>Kế hoạch rà soát và duy trì, giữ vững, nâng cao chất lượng tiêu chí thành phố trực thuộc cấp tỉnh hoàn thành nhiệm vụ xây dựng nông thôn mới theo Quyết định số 320/QĐ-TTg ngày 08/3/2022 của Thủ tướng Chính phủ.</t>
  </si>
  <si>
    <t>UBND thành phố Tuyên Quang</t>
  </si>
  <si>
    <t>Các sở, ban, ngành liên quan.</t>
  </si>
  <si>
    <t xml:space="preserve">Kế hoạch </t>
  </si>
  <si>
    <t xml:space="preserve">Xây dựng và ban hành Kế hoạch thực hiện: </t>
  </si>
  <si>
    <t xml:space="preserve">UBND huyện, thành phố </t>
  </si>
  <si>
    <t>Các sở, ban, ngành liên quan,UBND các huyện, thành phố; các xã có thôn và hộ gia đình thực hiện kế hoạch</t>
  </si>
  <si>
    <t>Kế hoạch thực hiện xây dựng: Kiên cố hóa kênh mương, nhà văn hoá, bê tông hóa đường giao thông nông thôn và xây dựng cầu trên đường giao thông nông thôn.</t>
  </si>
  <si>
    <t>UBND huyện, thành phố; các Sở: Nông nghiệp và PTNT; Giao thông vận tải; Văn hoá, Thể thao và Du lịch</t>
  </si>
  <si>
    <t>Kế hoạch thực hiện các chỉ tiêu, tiêu chí theo lĩnh vực ngành và địa bàn được phân công quản lý, phụ trách: Cân đối nguồn lực để hỗ trợ đầu tư thực hiện Chương trình; ưu tiên bố trí nguồn lực cho các xã mục tiêu đạt chuẩn nông thôn mới, đạt chuẩn nông thôn mới nâng cao và kiểu mẫu.</t>
  </si>
  <si>
    <t>Các sở, ban, ngành, UBND huyện, thành phố</t>
  </si>
  <si>
    <t xml:space="preserve">Các ngành liên quan, UBND  các xã </t>
  </si>
  <si>
    <t>Đổi mới và đẩy mạnh công tác thông tin, tuyên truyền về xây dựng nông thôn mới; chú trọng tuyên truyền thực hiện Bộ tiêu chí thôn xã nông thôn mới, xã nông thôn mới nâng cao, xã nông thôn mới kiểu mẫu và Thôn nông thôn mới, thôn nông thôn mới kiểu mẫu, vườn mẫu nông thôn mới.</t>
  </si>
  <si>
    <t>Ủy ban MTTQ tỉnh; các tổ chức đoàn thể cấp tỉnh; Đài PTTH tỉnh; Báo Tuyên Quang</t>
  </si>
  <si>
    <t>Các sở, ban, ngành liên quan; UBND huyện, thành phố, UBND xã.</t>
  </si>
  <si>
    <t>Kế hoạch</t>
  </si>
  <si>
    <t>Đào tạo, tập huấn cho cán bộ làm công tác xây dựng nông thôn mới các cấp.</t>
  </si>
  <si>
    <t>Các sở, ban, ngành liên quan, UBND huyện, thành phố</t>
  </si>
  <si>
    <t>Hội đồng thẩm định tỉnh; UBND huyện, thành phố</t>
  </si>
  <si>
    <t>Các sở, ban, ngành có liên quan.</t>
  </si>
  <si>
    <t>Quý IV/2023</t>
  </si>
  <si>
    <t>Quý I-IV</t>
  </si>
  <si>
    <t>Quý I-II</t>
  </si>
  <si>
    <t>Quý I-V</t>
  </si>
  <si>
    <t>Kế hoạch và triển khai tập huấn</t>
  </si>
  <si>
    <t>Biểu số 03:</t>
  </si>
  <si>
    <t xml:space="preserve"> - Củng cố, duy trì và giữ vững xã đã đạt chuẩn nông thôn mới, đạt chuẩn nông thôn mới nâng cao; nâng số tiêu chí bình quân trên địa bàn.</t>
  </si>
  <si>
    <t>PHÂN CÔNG CÁC CƠ QUAN, ĐƠN VỊ THAM MƯU THỰC HIỆN KẾ HOẠCH THỰC HIỆN CHƯƠNG TRÌNH</t>
  </si>
  <si>
    <t>Nâng cấp chợ trung tâm huyện Hàm Yên</t>
  </si>
  <si>
    <t>Xây dựng thôn nông thôn mới</t>
  </si>
  <si>
    <t>Xây dựng thôn NTM kiểu mẫu</t>
  </si>
  <si>
    <t>Xây dựng vườn mẫu NTM</t>
  </si>
  <si>
    <t>Xây dựng thôn nông thôn mới, thôn nông thôn mới kiểu mẫu, vườn mẫu nông thôn mới</t>
  </si>
  <si>
    <r>
      <rPr>
        <sz val="13"/>
        <rFont val="Times New Roman"/>
        <family val="1"/>
      </rPr>
      <t>Nghị quyết của HĐND tỉnh; Quyết định của UBND tỉnh</t>
    </r>
  </si>
  <si>
    <r>
      <rPr>
        <sz val="13"/>
        <rFont val="Times New Roman"/>
        <family val="1"/>
      </rPr>
      <t>Tham mưu Kế hoạch vốn thực hiện hoàn thành các tiêu chí đối với 12 xã hoàn thành đạt chuẩn nông thôn mới; 09 xã hoàn thành đạt chuẩn nông thôn mới nâng cao và 05 xã hoàn thành đạt chuẩn nông thôn mới kiểu mẫu.</t>
    </r>
  </si>
  <si>
    <r>
      <t xml:space="preserve">Quyết định </t>
    </r>
    <r>
      <rPr>
        <sz val="13"/>
        <rFont val="Times New Roman"/>
        <family val="1"/>
      </rPr>
      <t>của UBND tỉnh</t>
    </r>
  </si>
  <si>
    <r>
      <t xml:space="preserve">Thường xuyên rà soát, đôn đốc, kiểm tra hướng dẫn thực hiện Đề án xây dựng nông thôn mới huyện Sơn Dương giai đoạn 2023-2025 khi được UBND tỉnh phê duyệt và </t>
    </r>
    <r>
      <rPr>
        <sz val="13"/>
        <rFont val="Times New Roman"/>
        <family val="1"/>
      </rPr>
      <t xml:space="preserve">xây dựng kế hoạch thực hiện Đề án giai đoạn 2023-2025 và hàng năm; đề xuất giải pháp điều chỉnh, bổ sung đảm bảo phù hợp với thực tế của tỉnh </t>
    </r>
    <r>
      <rPr>
        <i/>
        <sz val="13"/>
        <rFont val="Times New Roman"/>
        <family val="1"/>
      </rPr>
      <t>(trường hợp phát sinh nội dung cần điều chỉnh, bổ sung)</t>
    </r>
    <r>
      <rPr>
        <sz val="13"/>
        <rFont val="Times New Roman"/>
        <family val="1"/>
      </rPr>
      <t>.</t>
    </r>
  </si>
  <si>
    <r>
      <t xml:space="preserve">UBND huyện Sơn Dương; </t>
    </r>
    <r>
      <rPr>
        <sz val="13"/>
        <rFont val="Times New Roman"/>
        <family val="1"/>
      </rPr>
      <t>Sở Kế hoạch và Đầu tư, Sở Nông nghiệp và PTNT;</t>
    </r>
  </si>
  <si>
    <r>
      <rPr>
        <sz val="13"/>
        <rFont val="Times New Roman"/>
        <family val="1"/>
      </rPr>
      <t xml:space="preserve">Kế hoạch;
Văn bản </t>
    </r>
  </si>
  <si>
    <r>
      <t xml:space="preserve"> - Phấn đấu xã đạt chuẩn nông thôn mới</t>
    </r>
    <r>
      <rPr>
        <sz val="13"/>
        <rFont val="Times New Roman"/>
        <family val="1"/>
      </rPr>
      <t>, xã đạt chuẩn nông thôn mới nâng cao và xã đạt chuẩn nông thôn mới kiểu mẫu;</t>
    </r>
  </si>
  <si>
    <r>
      <t xml:space="preserve"> - Thực hiện 0</t>
    </r>
    <r>
      <rPr>
        <sz val="13"/>
        <rFont val="Times New Roman"/>
        <family val="1"/>
      </rPr>
      <t>3 Bộ tiêu chí: Thôn nông thôn mới; Thôn nông thôn mới kiểu mẫu; Vườn mẫu nông thôn mới.</t>
    </r>
  </si>
  <si>
    <r>
      <t xml:space="preserve">Văn phòng điều phối </t>
    </r>
    <r>
      <rPr>
        <sz val="13"/>
        <rFont val="Times New Roman"/>
        <family val="1"/>
      </rPr>
      <t>NTM tỉnh</t>
    </r>
  </si>
  <si>
    <t>Nguồn vốn</t>
  </si>
  <si>
    <t xml:space="preserve">Vốn của tỉnh đã cân đối để đối ứng thực hiện các Chương trình MTQG </t>
  </si>
  <si>
    <t>UBND huyện Hàm Yên; Sở Nông nghiệp và PTNT</t>
  </si>
  <si>
    <t>Giải phóng mặt bằng xây dựng bến xe khách trung tâm huyện Hàm Yên</t>
  </si>
  <si>
    <t>Xây dựng bể bơi huyện Hàm Yên</t>
  </si>
  <si>
    <t>Nâng cấp Trung tâm Văn hóa - Thể thao huyện Hàm Yên</t>
  </si>
  <si>
    <t>Vốn cần tiếp tục cân đối, lồng ghép nguồn lực từ các nguồn: Ngân sách tỉnh, huyện và lồng ghép khác</t>
  </si>
  <si>
    <t>Tháng 4/2023</t>
  </si>
  <si>
    <t>Quý II/2023</t>
  </si>
  <si>
    <t>Năm 2023</t>
  </si>
  <si>
    <t>Tổ chức thẩm định, đề nghị công nhận xã đạt chuẩn nông thôn mới; xã đạt chuẩn nông thôn mới nâng cao và xã đạt chuẩn nông thôn mới kiểu mẫu năm 2023.</t>
  </si>
  <si>
    <t>Thẩm định trình Kế hoạch và nhu cầu vốn tại các xã đăng ký hoàn thành đạt chuẩn nông thôn mới, nông thôn mới nâng cao và nông thôn mới kiểu mẫu tỉnh Tuyên Quang năm 2023 theo đề nghị của Sở Nông nghiệp và Phát triển nông thôn và các cơ quan, đơn vị được giao kế hoạch vốn đảm bảo phù hợp theo quy định của Luật Đầu tư công và quy định của Chương trình.</t>
  </si>
  <si>
    <t>(Kèm theo Kế hoạch số  84-KH-UBND ngày 17/4/2023 của Ủy ban nhân dân tỉnh Tuyên Quang)</t>
  </si>
  <si>
    <t>(Kèm theo Kế hoạch số  84/KH - UBND ngày 17/4/2023 của Ủy ban nhân dân tỉnh Tuyên Quang)</t>
  </si>
</sst>
</file>

<file path=xl/styles.xml><?xml version="1.0" encoding="utf-8"?>
<styleSheet xmlns="http://schemas.openxmlformats.org/spreadsheetml/2006/main">
  <numFmts count="66">
    <numFmt numFmtId="42" formatCode="_-* #,##0\ &quot;₫&quot;_-;\-* #,##0\ &quot;₫&quot;_-;_-* &quot;-&quot;\ &quot;₫&quot;_-;_-@_-"/>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_(* #,##0.0_);_(* \(#,##0.0\);_(* &quot;-&quot;??_);_(@_)"/>
    <numFmt numFmtId="173" formatCode="_(* #,##0_);_(* \(#,##0\);_(* &quot;-&quot;??_);_(@_)"/>
    <numFmt numFmtId="174" formatCode="_(* #.00.;_(* \(#.00.;_(* &quot;-&quot;??_);_(@_ⴆ"/>
    <numFmt numFmtId="175" formatCode="_(* #,##0.000_);_(* \(#,##0.000\);_(* &quot;-&quot;??_);_(@_)"/>
    <numFmt numFmtId="176" formatCode="_-* #,##0\ _₫_-;\-* #,##0\ _₫_-;_-* &quot;-&quot;??\ _₫_-;_-@_-"/>
    <numFmt numFmtId="177" formatCode="_-* #,##0.0\ _₫_-;\-* #,##0.0\ _₫_-;_-* &quot;-&quot;??\ _₫_-;_-@_-"/>
    <numFmt numFmtId="178" formatCode="#,##0.0"/>
    <numFmt numFmtId="179" formatCode="#,##0.000"/>
    <numFmt numFmtId="180" formatCode="0.0"/>
    <numFmt numFmtId="181" formatCode="#,##0.0;[Red]#,##0.0"/>
    <numFmt numFmtId="182" formatCode="#,##0.0000"/>
    <numFmt numFmtId="183" formatCode="0_);\(0\)"/>
    <numFmt numFmtId="184" formatCode="#,##0.0##"/>
    <numFmt numFmtId="185" formatCode="_(* #,##0.0_);_(* \(#,##0.0\);_(* &quot;-&quot;?_);_(@_)"/>
    <numFmt numFmtId="186" formatCode="_(* #,##0_);_(* \(#,##0\);_(* &quot;-&quot;?_);_(@_)"/>
    <numFmt numFmtId="187" formatCode="_-* #,##0\ _€_-;\-* #,##0\ _€_-;_-* &quot;-&quot;??\ _€_-;_-@_-"/>
    <numFmt numFmtId="188" formatCode="_(* #,##0.00_);_(* \(#,##0.00\);_(* &quot;-&quot;_);_(@_)"/>
    <numFmt numFmtId="189" formatCode="#,##0.000;[Red]#,##0.000"/>
    <numFmt numFmtId="190" formatCode="00.000"/>
    <numFmt numFmtId="191" formatCode="&quot;?&quot;#,##0;&quot;?&quot;\-#,##0"/>
    <numFmt numFmtId="192" formatCode="_ * #,##0_ ;_ * \-#,##0_ ;_ * &quot;-&quot;_ ;_ @_ "/>
    <numFmt numFmtId="193" formatCode="_ * #,##0.00_ ;_ * \-#,##0.00_ ;_ * &quot;-&quot;??_ ;_ @_ "/>
    <numFmt numFmtId="194" formatCode="&quot;$&quot;#,##0.00;\-&quot;$&quot;#,##0.00"/>
    <numFmt numFmtId="195" formatCode="0.000_)"/>
    <numFmt numFmtId="196" formatCode="#,##0;\(#,##0\)"/>
    <numFmt numFmtId="197" formatCode="\$#,##0\ ;\(\$#,##0\)"/>
    <numFmt numFmtId="198" formatCode="\t0.00%"/>
    <numFmt numFmtId="199" formatCode="0.00000%"/>
    <numFmt numFmtId="200" formatCode="&quot;$&quot;\ \ \ \ #,##0_);\(&quot;$&quot;\ \ \ #,##0\)"/>
    <numFmt numFmtId="201" formatCode="&quot;$&quot;\ \ \ \ \ #,##0_);\(&quot;$&quot;\ \ \ \ \ #,##0\)"/>
    <numFmt numFmtId="202" formatCode="\t#\ ??/??"/>
    <numFmt numFmtId="203" formatCode="_-[$€-2]* #,##0.00_-;\-[$€-2]* #,##0.00_-;_-[$€-2]* &quot;-&quot;??_-"/>
    <numFmt numFmtId="204" formatCode="#."/>
    <numFmt numFmtId="205" formatCode="_ &quot;$&quot;* #,##0_ ;_ &quot;$&quot;* \-#,##0_ ;_ &quot;$&quot;* &quot;-&quot;_ ;_ @_ "/>
    <numFmt numFmtId="206" formatCode="_ &quot;$&quot;* #,##0.00_ ;_ &quot;$&quot;* \-#,##0.00_ ;_ &quot;$&quot;* &quot;-&quot;??_ ;_ @_ "/>
    <numFmt numFmtId="207" formatCode="#,###"/>
    <numFmt numFmtId="208" formatCode="#,##0.00000_);\(#,##0.00000\)"/>
    <numFmt numFmtId="209" formatCode="&quot;$&quot;#,##0.000;\(&quot;$&quot;#,##0.000\)"/>
    <numFmt numFmtId="210" formatCode="#,##0.00\ &quot;F&quot;;[Red]\-#,##0.00\ &quot;F&quot;"/>
    <numFmt numFmtId="211" formatCode="_-&quot;£&quot;* #,##0.00_-;\-&quot;£&quot;* #,##0.00_-;_-&quot;£&quot;* &quot;-&quot;??_-;_-@_-"/>
    <numFmt numFmtId="212" formatCode="0.00000000"/>
    <numFmt numFmtId="213" formatCode="&quot;£&quot;#,##0;\-&quot;£&quot;#,##0"/>
    <numFmt numFmtId="214" formatCode="&quot;\&quot;#,##0;[Red]\-&quot;\&quot;#,##0"/>
    <numFmt numFmtId="215" formatCode="#,##0.00\ &quot;F&quot;;\-#,##0.00\ &quot;F&quot;"/>
    <numFmt numFmtId="216" formatCode="mm/dd/yy"/>
    <numFmt numFmtId="217" formatCode="_-* #,##0\ &quot;F&quot;_-;\-* #,##0\ &quot;F&quot;_-;_-* &quot;-&quot;\ &quot;F&quot;_-;_-@_-"/>
    <numFmt numFmtId="218" formatCode="0.000\ "/>
    <numFmt numFmtId="219" formatCode="#,##0\ &quot;Lt&quot;;[Red]\-#,##0\ &quot;Lt&quot;"/>
    <numFmt numFmtId="220" formatCode="#,##0\ &quot;F&quot;;[Red]\-#,##0\ &quot;F&quot;"/>
    <numFmt numFmtId="221" formatCode="_-* #,##0\ &quot;DM&quot;_-;\-* #,##0\ &quot;DM&quot;_-;_-* &quot;-&quot;\ &quot;DM&quot;_-;_-@_-"/>
    <numFmt numFmtId="222" formatCode="_-* #,##0.00\ &quot;DM&quot;_-;\-* #,##0.00\ &quot;DM&quot;_-;_-* &quot;-&quot;??\ &quot;DM&quot;_-;_-@_-"/>
    <numFmt numFmtId="223" formatCode="&quot;\&quot;#,##0.00;[Red]&quot;\&quot;\-#,##0.00"/>
    <numFmt numFmtId="224" formatCode="&quot;\&quot;#,##0;[Red]&quot;\&quot;\-#,##0"/>
    <numFmt numFmtId="225" formatCode="_-&quot;$&quot;* #,##0_-;\-&quot;$&quot;* #,##0_-;_-&quot;$&quot;* &quot;-&quot;_-;_-@_-"/>
    <numFmt numFmtId="226" formatCode="_-&quot;$&quot;* #,##0.00_-;\-&quot;$&quot;* #,##0.00_-;_-&quot;$&quot;* &quot;-&quot;??_-;_-@_-"/>
  </numFmts>
  <fonts count="251">
    <font>
      <sz val="12"/>
      <name val=".VnTime"/>
    </font>
    <font>
      <sz val="12"/>
      <name val=".VnTime"/>
      <family val="2"/>
    </font>
    <font>
      <sz val="12"/>
      <name val="Times New Roman"/>
      <family val="1"/>
    </font>
    <font>
      <sz val="11"/>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1"/>
      <name val="Times New Roman"/>
      <family val="1"/>
    </font>
    <font>
      <sz val="9"/>
      <name val="Times New Roman"/>
      <family val="1"/>
    </font>
    <font>
      <b/>
      <sz val="9"/>
      <name val="Times New Roman"/>
      <family val="1"/>
    </font>
    <font>
      <i/>
      <sz val="10"/>
      <name val="Times New Roman"/>
      <family val="1"/>
    </font>
    <font>
      <b/>
      <sz val="12"/>
      <name val=".vntime"/>
      <family val="2"/>
    </font>
    <font>
      <sz val="10"/>
      <color indexed="8"/>
      <name val="Arial"/>
      <family val="2"/>
    </font>
    <font>
      <sz val="10"/>
      <name val="Arial"/>
      <family val="2"/>
    </font>
    <font>
      <sz val="8"/>
      <name val=".VnTime"/>
      <family val="2"/>
    </font>
    <font>
      <sz val="11"/>
      <color indexed="8"/>
      <name val=".VnArial"/>
      <family val="2"/>
    </font>
    <font>
      <i/>
      <sz val="9"/>
      <name val="Times New Roman"/>
      <family val="1"/>
    </font>
    <font>
      <b/>
      <i/>
      <sz val="10"/>
      <name val="Times New Roman"/>
      <family val="1"/>
    </font>
    <font>
      <b/>
      <sz val="10"/>
      <color indexed="8"/>
      <name val="Times New Roman"/>
      <family val="1"/>
    </font>
    <font>
      <sz val="11"/>
      <color indexed="8"/>
      <name val="Calibri"/>
      <family val="2"/>
    </font>
    <font>
      <b/>
      <sz val="14"/>
      <name val="Times New Roman"/>
      <family val="1"/>
    </font>
    <font>
      <sz val="12"/>
      <name val="Times New Roman"/>
      <family val="1"/>
      <charset val="163"/>
    </font>
    <font>
      <b/>
      <sz val="12"/>
      <name val="Times New Roman"/>
      <family val="1"/>
      <charset val="163"/>
    </font>
    <font>
      <b/>
      <sz val="8"/>
      <name val="Times New Roman"/>
      <family val="1"/>
    </font>
    <font>
      <sz val="8"/>
      <name val="Times New Roman"/>
      <family val="1"/>
    </font>
    <font>
      <sz val="14"/>
      <name val="Times New Roman"/>
      <family val="1"/>
    </font>
    <font>
      <sz val="9"/>
      <color indexed="81"/>
      <name val="Tahoma"/>
      <family val="2"/>
    </font>
    <font>
      <b/>
      <sz val="9"/>
      <color indexed="81"/>
      <name val="Tahoma"/>
      <family val="2"/>
    </font>
    <font>
      <sz val="10"/>
      <name val="Arial"/>
      <family val="2"/>
    </font>
    <font>
      <sz val="10"/>
      <name val="Arial"/>
      <family val="2"/>
    </font>
    <font>
      <sz val="10"/>
      <name val="Arial"/>
      <family val="2"/>
      <charset val="163"/>
    </font>
    <font>
      <i/>
      <sz val="14"/>
      <name val="Times New Roman"/>
      <family val="1"/>
    </font>
    <font>
      <b/>
      <i/>
      <sz val="14"/>
      <name val="Times New Roman"/>
      <family val="1"/>
    </font>
    <font>
      <sz val="14"/>
      <color indexed="8"/>
      <name val="Times New Roman"/>
      <family val="1"/>
    </font>
    <font>
      <sz val="13"/>
      <name val="Times New Roman"/>
      <family val="1"/>
      <charset val="163"/>
    </font>
    <font>
      <b/>
      <sz val="13"/>
      <name val="Times New Roman"/>
      <family val="1"/>
    </font>
    <font>
      <b/>
      <i/>
      <sz val="13"/>
      <name val="Times New Roman"/>
      <family val="1"/>
    </font>
    <font>
      <sz val="10"/>
      <name val="Times New Roman"/>
      <family val="1"/>
      <charset val="163"/>
    </font>
    <font>
      <i/>
      <sz val="11"/>
      <name val="Times New Roman"/>
      <family val="1"/>
    </font>
    <font>
      <b/>
      <i/>
      <sz val="11"/>
      <name val="Times New Roman"/>
      <family val="1"/>
    </font>
    <font>
      <b/>
      <sz val="11"/>
      <name val="Times New Roman"/>
      <family val="1"/>
      <charset val="163"/>
    </font>
    <font>
      <sz val="10"/>
      <name val=".VnTime"/>
      <family val="2"/>
    </font>
    <font>
      <b/>
      <i/>
      <sz val="12"/>
      <name val="Times New Roman"/>
      <family val="1"/>
    </font>
    <font>
      <b/>
      <sz val="12"/>
      <name val=".VnArial NarrowH"/>
      <family val="2"/>
      <charset val="163"/>
    </font>
    <font>
      <b/>
      <sz val="12"/>
      <name val=".VnTime"/>
      <family val="2"/>
      <charset val="163"/>
    </font>
    <font>
      <b/>
      <sz val="14"/>
      <name val="Times New Roman"/>
      <family val="1"/>
      <charset val="163"/>
    </font>
    <font>
      <sz val="11"/>
      <name val=".VnTime"/>
      <family val="2"/>
      <charset val="163"/>
    </font>
    <font>
      <i/>
      <sz val="11"/>
      <name val="Times New Roman"/>
      <family val="1"/>
      <charset val="163"/>
    </font>
    <font>
      <b/>
      <i/>
      <sz val="11"/>
      <name val="Times New Roman"/>
      <family val="1"/>
      <charset val="163"/>
    </font>
    <font>
      <b/>
      <sz val="11"/>
      <name val=".VnArial Narrow"/>
      <family val="2"/>
      <charset val="163"/>
    </font>
    <font>
      <b/>
      <sz val="10.5"/>
      <name val="Times New Roman"/>
      <family val="1"/>
    </font>
    <font>
      <sz val="10.5"/>
      <name val="Times New Roman"/>
      <family val="1"/>
    </font>
    <font>
      <i/>
      <sz val="10.5"/>
      <name val="Times New Roman"/>
      <family val="1"/>
    </font>
    <font>
      <b/>
      <sz val="10"/>
      <name val=".VnArial Narrow"/>
      <family val="2"/>
    </font>
    <font>
      <i/>
      <sz val="10"/>
      <name val=".VnArial Narrow"/>
      <family val="2"/>
    </font>
    <font>
      <sz val="10"/>
      <name val=".VnArial Narrow"/>
      <family val="2"/>
    </font>
    <font>
      <b/>
      <sz val="10"/>
      <name val="Times New Roman"/>
      <family val="1"/>
      <charset val="163"/>
    </font>
    <font>
      <i/>
      <sz val="10"/>
      <name val="Times New Roman"/>
      <family val="1"/>
      <charset val="163"/>
    </font>
    <font>
      <sz val="10"/>
      <color indexed="10"/>
      <name val="Times New Roman"/>
      <family val="1"/>
    </font>
    <font>
      <i/>
      <sz val="10"/>
      <color indexed="10"/>
      <name val="Times New Roman"/>
      <family val="1"/>
    </font>
    <font>
      <b/>
      <sz val="10"/>
      <color indexed="10"/>
      <name val="Times New Roman"/>
      <family val="1"/>
    </font>
    <font>
      <b/>
      <i/>
      <sz val="10"/>
      <color indexed="10"/>
      <name val="Times New Roman"/>
      <family val="1"/>
    </font>
    <font>
      <b/>
      <i/>
      <sz val="10"/>
      <name val="Times New Roman"/>
      <family val="1"/>
      <charset val="163"/>
    </font>
    <font>
      <sz val="10"/>
      <name val=".VnTime"/>
      <family val="2"/>
      <charset val="163"/>
    </font>
    <font>
      <sz val="10"/>
      <name val="Times New Roman"/>
      <family val="2"/>
      <charset val="163"/>
    </font>
    <font>
      <b/>
      <i/>
      <sz val="10"/>
      <color indexed="8"/>
      <name val="Times New Roman"/>
      <family val="1"/>
    </font>
    <font>
      <b/>
      <i/>
      <sz val="10"/>
      <name val=".VnArial Narrow"/>
      <family val="2"/>
    </font>
    <font>
      <sz val="11"/>
      <color indexed="8"/>
      <name val="Arial"/>
      <family val="2"/>
    </font>
    <font>
      <sz val="11"/>
      <color indexed="9"/>
      <name val="Arial"/>
      <family val="2"/>
    </font>
    <font>
      <b/>
      <sz val="11"/>
      <color indexed="9"/>
      <name val="Arial"/>
      <family val="2"/>
    </font>
    <font>
      <b/>
      <sz val="11"/>
      <color indexed="8"/>
      <name val="Arial"/>
      <family val="2"/>
    </font>
    <font>
      <sz val="12"/>
      <color indexed="8"/>
      <name val="Arial"/>
      <family val="2"/>
    </font>
    <font>
      <sz val="11"/>
      <color indexed="10"/>
      <name val="Arial"/>
      <family val="2"/>
    </font>
    <font>
      <b/>
      <sz val="14"/>
      <color indexed="2"/>
      <name val="Times New Roman"/>
      <family val="1"/>
    </font>
    <font>
      <sz val="14"/>
      <color indexed="2"/>
      <name val="Times New Roman"/>
      <family val="1"/>
    </font>
    <font>
      <i/>
      <sz val="8"/>
      <name val="Times New Roman"/>
      <family val="1"/>
    </font>
    <font>
      <sz val="11"/>
      <name val="??"/>
      <family val="2"/>
    </font>
    <font>
      <sz val="14"/>
      <name val="??"/>
      <family val="2"/>
    </font>
    <font>
      <sz val="12"/>
      <name val="????"/>
      <family val="2"/>
    </font>
    <font>
      <sz val="12"/>
      <name val="Courier"/>
      <family val="3"/>
    </font>
    <font>
      <sz val="12"/>
      <name val="???"/>
      <family val="2"/>
    </font>
    <font>
      <sz val="12"/>
      <name val="|??¢¥¢¬¨Ï"/>
      <family val="2"/>
    </font>
    <font>
      <sz val="9"/>
      <name val="‚l‚r –¾’©"/>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12"/>
      <name val="¹UAAA¼"/>
      <family val="2"/>
    </font>
    <font>
      <sz val="12"/>
      <name val="µ¸¿òÃ¼"/>
      <family val="2"/>
    </font>
    <font>
      <sz val="11"/>
      <color indexed="20"/>
      <name val="Calibri"/>
      <family val="2"/>
    </font>
    <font>
      <i/>
      <sz val="10"/>
      <color indexed="56"/>
      <name val="Arial"/>
      <family val="2"/>
    </font>
    <font>
      <sz val="12"/>
      <name val="Tms Rmn"/>
      <family val="1"/>
    </font>
    <font>
      <sz val="11"/>
      <name val="µ¸¿ò"/>
      <family val="2"/>
    </font>
    <font>
      <b/>
      <sz val="11"/>
      <color indexed="52"/>
      <name val="Calibri"/>
      <family val="2"/>
    </font>
    <font>
      <b/>
      <sz val="10"/>
      <name val="Helv"/>
      <family val="2"/>
    </font>
    <font>
      <b/>
      <sz val="11"/>
      <color indexed="9"/>
      <name val="Calibri"/>
      <family val="2"/>
    </font>
    <font>
      <b/>
      <sz val="8"/>
      <name val="Arial"/>
      <family val="2"/>
    </font>
    <font>
      <sz val="11"/>
      <name val="Tms Rmn"/>
      <family val="1"/>
    </font>
    <font>
      <sz val="10"/>
      <name val="MS Serif"/>
      <family val="1"/>
    </font>
    <font>
      <b/>
      <sz val="11"/>
      <color indexed="63"/>
      <name val="Arial"/>
      <family val="2"/>
    </font>
    <font>
      <sz val="11"/>
      <color indexed="62"/>
      <name val="Arial"/>
      <family val="2"/>
    </font>
    <font>
      <b/>
      <sz val="15"/>
      <color indexed="56"/>
      <name val="Arial"/>
      <family val="2"/>
    </font>
    <font>
      <b/>
      <sz val="13"/>
      <color indexed="56"/>
      <name val="Arial"/>
      <family val="2"/>
    </font>
    <font>
      <b/>
      <sz val="11"/>
      <color indexed="56"/>
      <name val="Arial"/>
      <family val="2"/>
    </font>
    <font>
      <sz val="10"/>
      <name val="MS Sans Serif"/>
      <family val="2"/>
    </font>
    <font>
      <sz val="10"/>
      <name val="Arial CE"/>
      <family val="2"/>
    </font>
    <font>
      <sz val="10"/>
      <color indexed="16"/>
      <name val="MS Serif"/>
      <family val="1"/>
    </font>
    <font>
      <i/>
      <sz val="11"/>
      <color indexed="23"/>
      <name val="Calibri"/>
      <family val="2"/>
    </font>
    <font>
      <sz val="11"/>
      <color indexed="17"/>
      <name val="Calibri"/>
      <family val="2"/>
    </font>
    <font>
      <sz val="8"/>
      <name val="Arial"/>
      <family val="2"/>
    </font>
    <font>
      <b/>
      <sz val="12"/>
      <color indexed="9"/>
      <name val="Tms Rmn"/>
      <family val="1"/>
    </font>
    <font>
      <b/>
      <sz val="12"/>
      <name val="Helv"/>
      <family val="2"/>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8"/>
      <name val="MS Sans Serif"/>
      <family val="2"/>
    </font>
    <font>
      <b/>
      <sz val="14"/>
      <name val=".VnTimeH"/>
      <family val="2"/>
    </font>
    <font>
      <u/>
      <sz val="10.199999999999999"/>
      <color indexed="12"/>
      <name val=".VnTime"/>
      <family val="2"/>
    </font>
    <font>
      <sz val="11"/>
      <color indexed="62"/>
      <name val="Calibri"/>
      <family val="2"/>
    </font>
    <font>
      <sz val="11"/>
      <color indexed="52"/>
      <name val="Calibri"/>
      <family val="2"/>
    </font>
    <font>
      <b/>
      <sz val="12"/>
      <color indexed="16"/>
      <name val="Times New Roman"/>
      <family val="1"/>
    </font>
    <font>
      <sz val="10"/>
      <name val="Helv"/>
      <family val="2"/>
    </font>
    <font>
      <b/>
      <sz val="11"/>
      <name val="Helv"/>
      <family val="2"/>
    </font>
    <font>
      <sz val="10"/>
      <name val=".VnAvant"/>
      <family val="2"/>
    </font>
    <font>
      <sz val="10"/>
      <name val="Courier"/>
      <family val="3"/>
    </font>
    <font>
      <sz val="12"/>
      <name val="Arial"/>
      <family val="2"/>
    </font>
    <font>
      <sz val="11"/>
      <color indexed="60"/>
      <name val="Calibri"/>
      <family val="2"/>
    </font>
    <font>
      <sz val="7"/>
      <name val="Small Fonts"/>
      <family val="2"/>
    </font>
    <font>
      <sz val="12"/>
      <name val=".VnArial"/>
      <family val="2"/>
    </font>
    <font>
      <sz val="11"/>
      <color indexed="52"/>
      <name val="Arial"/>
      <family val="2"/>
    </font>
    <font>
      <sz val="11"/>
      <name val="–¾’©"/>
      <family val="2"/>
    </font>
    <font>
      <sz val="13"/>
      <name val=".VnTime"/>
      <family val="2"/>
    </font>
    <font>
      <b/>
      <sz val="11"/>
      <color indexed="63"/>
      <name val="Calibri"/>
      <family val="2"/>
    </font>
    <font>
      <b/>
      <sz val="10"/>
      <name val="MS Sans Serif"/>
      <family val="2"/>
    </font>
    <font>
      <sz val="8"/>
      <name val="Wingdings"/>
      <charset val="2"/>
    </font>
    <font>
      <sz val="8"/>
      <name val="Helv"/>
      <family val="2"/>
    </font>
    <font>
      <b/>
      <sz val="12"/>
      <color indexed="8"/>
      <name val="Arial"/>
      <family val="2"/>
    </font>
    <font>
      <b/>
      <i/>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8"/>
      <color indexed="8"/>
      <name val="Helv"/>
      <family val="2"/>
    </font>
    <font>
      <sz val="12"/>
      <name val="VNTime"/>
      <family val="2"/>
    </font>
    <font>
      <b/>
      <sz val="18"/>
      <color indexed="56"/>
      <name val="Times New Roman"/>
      <family val="1"/>
    </font>
    <font>
      <b/>
      <sz val="11"/>
      <color indexed="52"/>
      <name val="Arial"/>
      <family val="2"/>
    </font>
    <font>
      <b/>
      <sz val="18"/>
      <color indexed="56"/>
      <name val="Cambria"/>
      <family val="1"/>
    </font>
    <font>
      <sz val="11"/>
      <color indexed="17"/>
      <name val="Arial"/>
      <family val="2"/>
    </font>
    <font>
      <b/>
      <sz val="11"/>
      <color indexed="8"/>
      <name val="Calibri"/>
      <family val="2"/>
    </font>
    <font>
      <sz val="11"/>
      <color indexed="60"/>
      <name val="Arial"/>
      <family val="2"/>
    </font>
    <font>
      <sz val="10"/>
      <name val=".VnArial"/>
      <family val="2"/>
    </font>
    <font>
      <i/>
      <sz val="11"/>
      <color indexed="23"/>
      <name val="Arial"/>
      <family val="2"/>
    </font>
    <font>
      <b/>
      <sz val="10"/>
      <name val=".VnTime"/>
      <family val="2"/>
    </font>
    <font>
      <sz val="9"/>
      <name val=".VnTime"/>
      <family val="2"/>
    </font>
    <font>
      <sz val="11"/>
      <color indexed="10"/>
      <name val="Calibri"/>
      <family val="2"/>
    </font>
    <font>
      <sz val="11"/>
      <color indexed="20"/>
      <name val="Arial"/>
      <family val="2"/>
    </font>
    <font>
      <sz val="14"/>
      <name val=".VnArial"/>
      <family val="2"/>
    </font>
    <font>
      <sz val="10"/>
      <name val=" "/>
      <family val="2"/>
    </font>
    <font>
      <sz val="14"/>
      <name val="뼻뮝"/>
      <family val="2"/>
    </font>
    <font>
      <sz val="12"/>
      <name val="바탕체"/>
      <family val="2"/>
    </font>
    <font>
      <sz val="12"/>
      <name val="뼻뮝"/>
      <family val="2"/>
    </font>
    <font>
      <sz val="10"/>
      <name val="굴림체"/>
      <family val="2"/>
    </font>
    <font>
      <sz val="9"/>
      <name val="Arial"/>
      <family val="2"/>
    </font>
    <font>
      <sz val="10"/>
      <name val="ＭＳ Ｐ明朝"/>
    </font>
    <font>
      <sz val="13"/>
      <name val="Times New Roman"/>
      <family val="1"/>
    </font>
    <font>
      <i/>
      <sz val="13"/>
      <name val="Times New Roman"/>
      <family val="1"/>
    </font>
    <font>
      <sz val="11"/>
      <color theme="1"/>
      <name val="Calibri"/>
      <family val="2"/>
      <scheme val="minor"/>
    </font>
    <font>
      <sz val="10"/>
      <color rgb="FFFF0000"/>
      <name val="Times New Roman"/>
      <family val="1"/>
    </font>
    <font>
      <sz val="14"/>
      <color rgb="FFFF0000"/>
      <name val="Times New Roman"/>
      <family val="1"/>
    </font>
    <font>
      <sz val="12"/>
      <color rgb="FFFF0000"/>
      <name val="Times New Roman"/>
      <family val="1"/>
    </font>
    <font>
      <i/>
      <sz val="10"/>
      <color rgb="FFFF0000"/>
      <name val="Times New Roman"/>
      <family val="1"/>
    </font>
    <font>
      <b/>
      <sz val="10"/>
      <color rgb="FFFF0000"/>
      <name val="Times New Roman"/>
      <family val="1"/>
    </font>
    <font>
      <b/>
      <sz val="10"/>
      <color rgb="FFFF0000"/>
      <name val=".VnArial Narrow"/>
      <family val="2"/>
    </font>
    <font>
      <b/>
      <i/>
      <sz val="10"/>
      <color rgb="FFFF0000"/>
      <name val="Times New Roman"/>
      <family val="1"/>
    </font>
    <font>
      <sz val="12"/>
      <color rgb="FFFF0000"/>
      <name val=".VnTime"/>
      <family val="2"/>
    </font>
    <font>
      <sz val="10"/>
      <color rgb="FFFF0000"/>
      <name val="Times New Roman"/>
      <family val="1"/>
      <charset val="163"/>
    </font>
    <font>
      <b/>
      <sz val="10"/>
      <color theme="1"/>
      <name val="Times New Roman"/>
      <family val="1"/>
    </font>
    <font>
      <b/>
      <i/>
      <sz val="10"/>
      <color theme="1"/>
      <name val="Times New Roman"/>
      <family val="1"/>
    </font>
    <font>
      <sz val="10"/>
      <color theme="1"/>
      <name val="Times New Roman"/>
      <family val="1"/>
    </font>
    <font>
      <sz val="8"/>
      <color rgb="FFFF0000"/>
      <name val="Times New Roman"/>
      <family val="1"/>
    </font>
    <font>
      <b/>
      <sz val="8"/>
      <color rgb="FFFF0000"/>
      <name val="Times New Roman"/>
      <family val="1"/>
    </font>
    <font>
      <sz val="10"/>
      <color rgb="FFFF0000"/>
      <name val=".VnTime"/>
      <family val="2"/>
      <charset val="163"/>
    </font>
    <font>
      <b/>
      <i/>
      <sz val="10"/>
      <color rgb="FFFF0000"/>
      <name val="Times New Roman"/>
      <family val="1"/>
      <charset val="163"/>
    </font>
    <font>
      <b/>
      <sz val="10"/>
      <color rgb="FFFF0000"/>
      <name val="Times New Roman"/>
      <family val="1"/>
      <charset val="163"/>
    </font>
    <font>
      <b/>
      <sz val="10"/>
      <color theme="1"/>
      <name val="Times New Roman"/>
      <family val="1"/>
      <charset val="163"/>
    </font>
    <font>
      <sz val="10"/>
      <color rgb="FFFF0000"/>
      <name val="Times New Roman"/>
      <family val="2"/>
      <charset val="163"/>
    </font>
    <font>
      <sz val="10"/>
      <color theme="1"/>
      <name val="Times New Roman"/>
      <family val="2"/>
      <charset val="163"/>
    </font>
    <font>
      <i/>
      <sz val="10"/>
      <color rgb="FFFF0000"/>
      <name val="Times New Roman"/>
      <family val="1"/>
      <charset val="163"/>
    </font>
    <font>
      <sz val="10"/>
      <color rgb="FFFF0000"/>
      <name val=".VnArial Narrow"/>
      <family val="2"/>
      <charset val="163"/>
    </font>
    <font>
      <sz val="12"/>
      <color rgb="FFFF0000"/>
      <name val=".VnTime"/>
      <family val="2"/>
      <charset val="163"/>
    </font>
    <font>
      <b/>
      <sz val="10"/>
      <color rgb="FFFF0000"/>
      <name val=".VnArial Narrow"/>
      <family val="2"/>
      <charset val="163"/>
    </font>
    <font>
      <sz val="8"/>
      <color rgb="FFFF0000"/>
      <name val="Times New Roman"/>
      <family val="1"/>
      <charset val="163"/>
    </font>
    <font>
      <b/>
      <sz val="8"/>
      <color rgb="FFFF0000"/>
      <name val="Times New Roman"/>
      <family val="1"/>
      <charset val="163"/>
    </font>
    <font>
      <sz val="10"/>
      <color theme="1"/>
      <name val="Calibri"/>
      <family val="2"/>
      <scheme val="minor"/>
    </font>
    <font>
      <i/>
      <sz val="9"/>
      <color theme="1"/>
      <name val="Times New Roman"/>
      <family val="1"/>
    </font>
    <font>
      <i/>
      <sz val="10"/>
      <color theme="1"/>
      <name val="Times New Roman"/>
      <family val="1"/>
    </font>
    <font>
      <b/>
      <sz val="10"/>
      <color theme="1"/>
      <name val="Calibri"/>
      <family val="2"/>
      <scheme val="minor"/>
    </font>
    <font>
      <sz val="12"/>
      <color theme="1"/>
      <name val="Times New Roman"/>
      <family val="1"/>
    </font>
    <font>
      <b/>
      <sz val="14"/>
      <color theme="0"/>
      <name val="Times New Roman"/>
      <family val="1"/>
    </font>
    <font>
      <sz val="11"/>
      <color theme="0"/>
      <name val="Calibri"/>
      <family val="2"/>
      <scheme val="minor"/>
    </font>
    <font>
      <b/>
      <sz val="11"/>
      <name val="Calibri"/>
      <family val="2"/>
      <scheme val="minor"/>
    </font>
    <font>
      <b/>
      <sz val="20"/>
      <color theme="0"/>
      <name val="Times New Roman"/>
      <family val="1"/>
    </font>
    <font>
      <i/>
      <sz val="20"/>
      <color theme="0"/>
      <name val="Times New Roman"/>
      <family val="1"/>
    </font>
    <font>
      <b/>
      <i/>
      <sz val="12"/>
      <color theme="1"/>
      <name val="Times New Roman"/>
      <family val="1"/>
    </font>
    <font>
      <b/>
      <i/>
      <sz val="12"/>
      <color theme="0"/>
      <name val="Times New Roman"/>
      <family val="1"/>
    </font>
    <font>
      <b/>
      <sz val="12"/>
      <color theme="0"/>
      <name val="Times New Roman"/>
      <family val="1"/>
    </font>
    <font>
      <b/>
      <sz val="11"/>
      <color theme="0"/>
      <name val="Calibri"/>
      <family val="2"/>
      <scheme val="minor"/>
    </font>
    <font>
      <b/>
      <sz val="11"/>
      <color theme="1"/>
      <name val="Calibri"/>
      <family val="2"/>
      <scheme val="minor"/>
    </font>
    <font>
      <i/>
      <sz val="11"/>
      <color theme="0"/>
      <name val="Calibri"/>
      <family val="2"/>
      <scheme val="minor"/>
    </font>
    <font>
      <i/>
      <sz val="11"/>
      <color theme="1"/>
      <name val="Calibri"/>
      <family val="2"/>
      <scheme val="minor"/>
    </font>
    <font>
      <b/>
      <sz val="12"/>
      <color theme="1"/>
      <name val="Times New Roman"/>
      <family val="1"/>
    </font>
    <font>
      <b/>
      <sz val="12"/>
      <color rgb="FFFF0000"/>
      <name val="Times New Roman"/>
      <family val="1"/>
    </font>
    <font>
      <b/>
      <sz val="13"/>
      <color theme="1"/>
      <name val="Times New Roman"/>
      <family val="1"/>
    </font>
    <font>
      <b/>
      <i/>
      <sz val="13"/>
      <color theme="1"/>
      <name val="Times New Roman"/>
      <family val="1"/>
    </font>
    <font>
      <b/>
      <i/>
      <sz val="11"/>
      <color theme="0"/>
      <name val="Calibri"/>
      <family val="2"/>
      <scheme val="minor"/>
    </font>
    <font>
      <sz val="13"/>
      <color theme="1"/>
      <name val="Times New Roman"/>
      <family val="1"/>
    </font>
    <font>
      <sz val="12"/>
      <color theme="0"/>
      <name val="Times New Roman"/>
      <family val="1"/>
    </font>
    <font>
      <b/>
      <i/>
      <sz val="11"/>
      <color theme="1"/>
      <name val="Calibri"/>
      <family val="2"/>
      <scheme val="minor"/>
    </font>
    <font>
      <sz val="12"/>
      <color theme="1"/>
      <name val="Calibri"/>
      <family val="2"/>
      <scheme val="minor"/>
    </font>
    <font>
      <sz val="13"/>
      <color rgb="FFFF0000"/>
      <name val="Times New Roman"/>
      <family val="1"/>
    </font>
    <font>
      <b/>
      <i/>
      <sz val="13"/>
      <color rgb="FFFF0000"/>
      <name val="Times New Roman"/>
      <family val="1"/>
    </font>
    <font>
      <b/>
      <sz val="11"/>
      <color rgb="FFFF0000"/>
      <name val="Calibri"/>
      <family val="2"/>
      <scheme val="minor"/>
    </font>
    <font>
      <sz val="11"/>
      <color rgb="FFFF0000"/>
      <name val="Calibri"/>
      <family val="2"/>
      <scheme val="minor"/>
    </font>
    <font>
      <b/>
      <i/>
      <sz val="14"/>
      <color rgb="FFFF0000"/>
      <name val="Times New Roman"/>
      <family val="1"/>
    </font>
    <font>
      <b/>
      <i/>
      <sz val="12"/>
      <color rgb="FFFF0000"/>
      <name val="Times New Roman"/>
      <family val="1"/>
    </font>
    <font>
      <b/>
      <sz val="13"/>
      <color rgb="FFFF0000"/>
      <name val="Times New Roman"/>
      <family val="1"/>
    </font>
    <font>
      <b/>
      <i/>
      <sz val="11"/>
      <color rgb="FFFF0000"/>
      <name val="Calibri"/>
      <family val="2"/>
      <scheme val="minor"/>
    </font>
    <font>
      <sz val="14"/>
      <color theme="1"/>
      <name val="Times New Roman"/>
      <family val="1"/>
    </font>
    <font>
      <b/>
      <sz val="14"/>
      <color theme="1"/>
      <name val="Times New Roman"/>
      <family val="1"/>
    </font>
    <font>
      <i/>
      <sz val="14"/>
      <color theme="1"/>
      <name val="Times New Roman"/>
      <family val="1"/>
    </font>
    <font>
      <sz val="14"/>
      <color rgb="FF0070C0"/>
      <name val="Times New Roman"/>
      <family val="1"/>
    </font>
    <font>
      <b/>
      <sz val="14"/>
      <color rgb="FF0070C0"/>
      <name val="Times New Roman"/>
      <family val="1"/>
    </font>
    <font>
      <i/>
      <sz val="14"/>
      <color rgb="FF0070C0"/>
      <name val="Times New Roman"/>
      <family val="1"/>
    </font>
    <font>
      <b/>
      <i/>
      <sz val="14"/>
      <color rgb="FF0070C0"/>
      <name val="Times New Roman"/>
      <family val="1"/>
    </font>
    <font>
      <b/>
      <sz val="9"/>
      <color rgb="FFFF0000"/>
      <name val="Times New Roman"/>
      <family val="1"/>
    </font>
    <font>
      <sz val="9"/>
      <color rgb="FFFF0000"/>
      <name val="Times New Roman"/>
      <family val="1"/>
    </font>
    <font>
      <sz val="9"/>
      <color theme="1"/>
      <name val="Times New Roman"/>
      <family val="1"/>
    </font>
    <font>
      <b/>
      <i/>
      <sz val="14"/>
      <color theme="1"/>
      <name val="Times New Roman"/>
      <family val="1"/>
    </font>
    <font>
      <b/>
      <sz val="16"/>
      <color theme="1"/>
      <name val="Times New Roman"/>
      <family val="1"/>
    </font>
    <font>
      <i/>
      <sz val="16"/>
      <color theme="1"/>
      <name val="Times New Roman"/>
      <family val="1"/>
    </font>
    <font>
      <b/>
      <sz val="20"/>
      <color theme="1"/>
      <name val="Times New Roman"/>
      <family val="1"/>
    </font>
    <font>
      <i/>
      <sz val="20"/>
      <color theme="1"/>
      <name val="Times New Roman"/>
      <family val="1"/>
    </font>
    <font>
      <sz val="10.5"/>
      <color rgb="FFFF0000"/>
      <name val="Times New Roman"/>
      <family val="1"/>
    </font>
    <font>
      <i/>
      <sz val="10"/>
      <color theme="1"/>
      <name val="Times New Roman"/>
      <family val="1"/>
      <charset val="163"/>
    </font>
    <font>
      <b/>
      <sz val="13"/>
      <name val="Times New Roman"/>
      <family val="1"/>
      <charset val="163"/>
    </font>
    <font>
      <i/>
      <sz val="13"/>
      <name val="Times New Roman"/>
      <family val="1"/>
      <charset val="163"/>
    </font>
  </fonts>
  <fills count="39">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mediumGray">
        <fgColor indexed="22"/>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gray125">
        <fgColor indexed="35"/>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45">
    <border>
      <left/>
      <right/>
      <top/>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double">
        <color indexed="64"/>
      </top>
      <bottom/>
      <diagonal/>
    </border>
    <border>
      <left/>
      <right style="medium">
        <color indexed="8"/>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style="thin">
        <color indexed="64"/>
      </right>
      <top/>
      <bottom style="hair">
        <color indexed="64"/>
      </bottom>
      <diagonal/>
    </border>
    <border>
      <left/>
      <right style="thin">
        <color indexed="64"/>
      </right>
      <top style="dotted">
        <color indexed="64"/>
      </top>
      <bottom style="dotted">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58">
    <xf numFmtId="0" fontId="0" fillId="0" borderId="0"/>
    <xf numFmtId="0" fontId="1" fillId="0" borderId="0" applyNumberFormat="0" applyFill="0" applyBorder="0" applyAlignment="0" applyProtection="0"/>
    <xf numFmtId="190" fontId="77" fillId="0" borderId="0" applyFont="0" applyFill="0" applyBorder="0" applyAlignment="0" applyProtection="0"/>
    <xf numFmtId="0" fontId="78" fillId="0" borderId="0" applyFont="0" applyFill="0" applyBorder="0" applyAlignment="0" applyProtection="0"/>
    <xf numFmtId="191" fontId="77" fillId="0" borderId="0" applyFont="0" applyFill="0" applyBorder="0" applyAlignment="0" applyProtection="0"/>
    <xf numFmtId="0" fontId="14" fillId="0" borderId="0" applyNumberFormat="0" applyFill="0" applyBorder="0" applyAlignment="0" applyProtection="0"/>
    <xf numFmtId="40" fontId="78" fillId="0" borderId="0" applyFont="0" applyFill="0" applyBorder="0" applyAlignment="0" applyProtection="0"/>
    <xf numFmtId="38" fontId="78" fillId="0" borderId="0" applyFont="0" applyFill="0" applyBorder="0" applyAlignment="0" applyProtection="0"/>
    <xf numFmtId="170" fontId="79" fillId="0" borderId="0" applyFont="0" applyFill="0" applyBorder="0" applyAlignment="0" applyProtection="0"/>
    <xf numFmtId="171" fontId="79" fillId="0" borderId="0" applyFont="0" applyFill="0" applyBorder="0" applyAlignment="0" applyProtection="0"/>
    <xf numFmtId="166" fontId="80" fillId="0" borderId="0" applyFont="0" applyFill="0" applyBorder="0" applyAlignment="0" applyProtection="0"/>
    <xf numFmtId="0" fontId="8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82" fillId="0" borderId="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4" fillId="0" borderId="0"/>
    <xf numFmtId="0" fontId="83" fillId="0" borderId="0"/>
    <xf numFmtId="0" fontId="14" fillId="0" borderId="0"/>
    <xf numFmtId="0" fontId="84" fillId="2" borderId="0"/>
    <xf numFmtId="0" fontId="85" fillId="2" borderId="0"/>
    <xf numFmtId="0" fontId="1"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180" fontId="14" fillId="0" borderId="1" applyNumberFormat="0" applyFill="0" applyBorder="0">
      <alignment vertical="top" wrapText="1"/>
    </xf>
    <xf numFmtId="0" fontId="86" fillId="2" borderId="0"/>
    <xf numFmtId="0" fontId="87" fillId="0" borderId="0">
      <alignment wrapText="1"/>
    </xf>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1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8" fillId="13"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69" fillId="13"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20" borderId="0" applyNumberFormat="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25" fillId="0" borderId="0">
      <alignment horizontal="center" wrapText="1"/>
      <protection locked="0"/>
    </xf>
    <xf numFmtId="192" fontId="90" fillId="0" borderId="0" applyFont="0" applyFill="0" applyBorder="0" applyAlignment="0" applyProtection="0"/>
    <xf numFmtId="0" fontId="89" fillId="0" borderId="0" applyFont="0" applyFill="0" applyBorder="0" applyAlignment="0" applyProtection="0"/>
    <xf numFmtId="193" fontId="90" fillId="0" borderId="0" applyFont="0" applyFill="0" applyBorder="0" applyAlignment="0" applyProtection="0"/>
    <xf numFmtId="0" fontId="89" fillId="0" borderId="0" applyFont="0" applyFill="0" applyBorder="0" applyAlignment="0" applyProtection="0"/>
    <xf numFmtId="0" fontId="91" fillId="4" borderId="0" applyNumberFormat="0" applyBorder="0" applyAlignment="0" applyProtection="0"/>
    <xf numFmtId="180" fontId="92" fillId="0" borderId="0" applyNumberFormat="0" applyFill="0">
      <alignment vertical="top" wrapText="1"/>
    </xf>
    <xf numFmtId="0" fontId="93" fillId="0" borderId="0" applyNumberFormat="0" applyFill="0" applyBorder="0" applyAlignment="0" applyProtection="0"/>
    <xf numFmtId="0" fontId="89" fillId="0" borderId="0"/>
    <xf numFmtId="0" fontId="89" fillId="0" borderId="0"/>
    <xf numFmtId="0" fontId="94" fillId="0" borderId="0"/>
    <xf numFmtId="0" fontId="14" fillId="0" borderId="0" applyFill="0" applyBorder="0" applyAlignment="0"/>
    <xf numFmtId="194"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194" fontId="14" fillId="0" borderId="0" applyFill="0" applyBorder="0" applyAlignment="0"/>
    <xf numFmtId="0" fontId="95" fillId="2" borderId="2" applyNumberFormat="0" applyAlignment="0" applyProtection="0"/>
    <xf numFmtId="0" fontId="96" fillId="0" borderId="0"/>
    <xf numFmtId="0" fontId="98" fillId="0" borderId="3">
      <alignment horizontal="center"/>
    </xf>
    <xf numFmtId="169" fontId="1" fillId="0" borderId="0" applyFont="0" applyFill="0" applyBorder="0" applyAlignment="0" applyProtection="0"/>
    <xf numFmtId="195" fontId="99" fillId="0" borderId="0"/>
    <xf numFmtId="195" fontId="99" fillId="0" borderId="0"/>
    <xf numFmtId="195" fontId="99" fillId="0" borderId="0"/>
    <xf numFmtId="195" fontId="99" fillId="0" borderId="0"/>
    <xf numFmtId="195" fontId="99" fillId="0" borderId="0"/>
    <xf numFmtId="195" fontId="99" fillId="0" borderId="0"/>
    <xf numFmtId="195" fontId="99" fillId="0" borderId="0"/>
    <xf numFmtId="195" fontId="99" fillId="0" borderId="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2" fillId="0" borderId="0" applyFont="0" applyFill="0" applyBorder="0" applyAlignment="0" applyProtection="0"/>
    <xf numFmtId="169" fontId="29"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74" fontId="30" fillId="0" borderId="0" applyFont="0" applyFill="0" applyBorder="0" applyAlignment="0" applyProtection="0"/>
    <xf numFmtId="169" fontId="17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4" fillId="0" borderId="0" applyFont="0" applyFill="0" applyBorder="0" applyAlignment="0" applyProtection="0"/>
    <xf numFmtId="169" fontId="2"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14" fillId="0" borderId="0" applyFont="0" applyFill="0" applyBorder="0" applyAlignment="0" applyProtection="0"/>
    <xf numFmtId="196" fontId="7" fillId="0" borderId="0"/>
    <xf numFmtId="3" fontId="14" fillId="0" borderId="0" applyFont="0" applyFill="0" applyBorder="0" applyAlignment="0" applyProtection="0"/>
    <xf numFmtId="0" fontId="100" fillId="0" borderId="0" applyNumberFormat="0" applyAlignment="0">
      <alignment horizontal="left"/>
    </xf>
    <xf numFmtId="168" fontId="14" fillId="0" borderId="0" applyFont="0" applyFill="0" applyBorder="0" applyAlignment="0" applyProtection="0"/>
    <xf numFmtId="197" fontId="14" fillId="0" borderId="0" applyFont="0" applyFill="0" applyBorder="0" applyAlignment="0" applyProtection="0"/>
    <xf numFmtId="198" fontId="14" fillId="0" borderId="0"/>
    <xf numFmtId="199" fontId="14" fillId="2" borderId="0" applyFont="0" applyBorder="0"/>
    <xf numFmtId="0" fontId="97" fillId="21" borderId="4" applyNumberFormat="0" applyAlignment="0" applyProtection="0"/>
    <xf numFmtId="0" fontId="14" fillId="0" borderId="0" applyFont="0" applyFill="0" applyBorder="0" applyAlignment="0" applyProtection="0"/>
    <xf numFmtId="169" fontId="20" fillId="0" borderId="0" applyFont="0" applyFill="0" applyBorder="0" applyAlignment="0" applyProtection="0"/>
    <xf numFmtId="200" fontId="106" fillId="0" borderId="0" applyFont="0" applyFill="0" applyBorder="0" applyAlignment="0" applyProtection="0"/>
    <xf numFmtId="201" fontId="106" fillId="0" borderId="0" applyFont="0" applyFill="0" applyBorder="0" applyAlignment="0" applyProtection="0"/>
    <xf numFmtId="202" fontId="14" fillId="0" borderId="0"/>
    <xf numFmtId="167" fontId="107" fillId="0" borderId="0" applyFont="0" applyFill="0" applyBorder="0" applyAlignment="0" applyProtection="0"/>
    <xf numFmtId="169" fontId="107" fillId="0" borderId="0" applyFont="0" applyFill="0" applyBorder="0" applyAlignment="0" applyProtection="0"/>
    <xf numFmtId="0" fontId="101" fillId="2" borderId="5" applyNumberFormat="0" applyAlignment="0" applyProtection="0"/>
    <xf numFmtId="0" fontId="102" fillId="8" borderId="2" applyNumberFormat="0" applyAlignment="0" applyProtection="0"/>
    <xf numFmtId="0" fontId="103" fillId="0" borderId="6" applyNumberFormat="0" applyFill="0" applyAlignment="0" applyProtection="0"/>
    <xf numFmtId="0" fontId="104" fillId="0" borderId="7" applyNumberFormat="0" applyFill="0" applyAlignment="0" applyProtection="0"/>
    <xf numFmtId="0" fontId="105" fillId="0" borderId="8" applyNumberFormat="0" applyFill="0" applyAlignment="0" applyProtection="0"/>
    <xf numFmtId="0" fontId="105" fillId="0" borderId="0" applyNumberFormat="0" applyFill="0" applyBorder="0" applyAlignment="0" applyProtection="0"/>
    <xf numFmtId="0" fontId="108" fillId="0" borderId="0" applyNumberFormat="0" applyAlignment="0">
      <alignment horizontal="left"/>
    </xf>
    <xf numFmtId="203" fontId="1" fillId="0" borderId="0" applyFont="0" applyFill="0" applyBorder="0" applyAlignment="0" applyProtection="0"/>
    <xf numFmtId="0" fontId="109" fillId="0" borderId="0" applyNumberFormat="0" applyFill="0" applyBorder="0" applyAlignment="0" applyProtection="0"/>
    <xf numFmtId="2" fontId="14" fillId="0" borderId="0" applyFont="0" applyFill="0" applyBorder="0" applyAlignment="0" applyProtection="0"/>
    <xf numFmtId="0" fontId="2" fillId="22" borderId="9" applyNumberFormat="0" applyFont="0" applyAlignment="0" applyProtection="0"/>
    <xf numFmtId="0" fontId="110" fillId="5" borderId="0" applyNumberFormat="0" applyBorder="0" applyAlignment="0" applyProtection="0"/>
    <xf numFmtId="38" fontId="111" fillId="23" borderId="0" applyNumberFormat="0" applyBorder="0" applyAlignment="0" applyProtection="0"/>
    <xf numFmtId="0" fontId="112" fillId="24" borderId="0"/>
    <xf numFmtId="0" fontId="113" fillId="0" borderId="0">
      <alignment horizontal="left"/>
    </xf>
    <xf numFmtId="0" fontId="114" fillId="0" borderId="10" applyNumberFormat="0" applyAlignment="0" applyProtection="0">
      <alignment horizontal="left" vertical="center"/>
    </xf>
    <xf numFmtId="0" fontId="114" fillId="0" borderId="11">
      <alignment horizontal="left" vertical="center"/>
    </xf>
    <xf numFmtId="0" fontId="115" fillId="0" borderId="0" applyNumberFormat="0" applyFill="0" applyBorder="0" applyAlignment="0" applyProtection="0"/>
    <xf numFmtId="0" fontId="116" fillId="0" borderId="6" applyNumberFormat="0" applyFill="0" applyAlignment="0" applyProtection="0"/>
    <xf numFmtId="0" fontId="114" fillId="0" borderId="0" applyNumberFormat="0" applyFill="0" applyBorder="0" applyAlignment="0" applyProtection="0"/>
    <xf numFmtId="0" fontId="117" fillId="0" borderId="7" applyNumberFormat="0" applyFill="0" applyAlignment="0" applyProtection="0"/>
    <xf numFmtId="0" fontId="118" fillId="0" borderId="8" applyNumberFormat="0" applyFill="0" applyAlignment="0" applyProtection="0"/>
    <xf numFmtId="0" fontId="118" fillId="0" borderId="0" applyNumberFormat="0" applyFill="0" applyBorder="0" applyAlignment="0" applyProtection="0"/>
    <xf numFmtId="204" fontId="119" fillId="0" borderId="0">
      <protection locked="0"/>
    </xf>
    <xf numFmtId="204" fontId="119" fillId="0" borderId="0">
      <protection locked="0"/>
    </xf>
    <xf numFmtId="0" fontId="120" fillId="0" borderId="12">
      <alignment horizontal="center"/>
    </xf>
    <xf numFmtId="0" fontId="120" fillId="0" borderId="0">
      <alignment horizontal="center"/>
    </xf>
    <xf numFmtId="49" fontId="121" fillId="0" borderId="13">
      <alignment vertical="center"/>
    </xf>
    <xf numFmtId="0" fontId="122" fillId="0" borderId="0" applyNumberFormat="0" applyFill="0" applyBorder="0" applyAlignment="0" applyProtection="0">
      <alignment vertical="top"/>
      <protection locked="0"/>
    </xf>
    <xf numFmtId="10" fontId="111" fillId="23" borderId="13" applyNumberFormat="0" applyBorder="0" applyAlignment="0" applyProtection="0"/>
    <xf numFmtId="0" fontId="123" fillId="8" borderId="2" applyNumberFormat="0" applyAlignment="0" applyProtection="0"/>
    <xf numFmtId="0" fontId="70" fillId="21" borderId="4" applyNumberFormat="0" applyAlignment="0" applyProtection="0"/>
    <xf numFmtId="0" fontId="1" fillId="0" borderId="0"/>
    <xf numFmtId="0" fontId="16" fillId="0" borderId="0"/>
    <xf numFmtId="0" fontId="1" fillId="0" borderId="0"/>
    <xf numFmtId="0" fontId="124" fillId="0" borderId="14" applyNumberFormat="0" applyFill="0" applyAlignment="0" applyProtection="0"/>
    <xf numFmtId="0" fontId="125" fillId="0" borderId="0"/>
    <xf numFmtId="38" fontId="106" fillId="0" borderId="0" applyFont="0" applyFill="0" applyBorder="0" applyAlignment="0" applyProtection="0"/>
    <xf numFmtId="4" fontId="126" fillId="0" borderId="0" applyFont="0" applyFill="0" applyBorder="0" applyAlignment="0" applyProtection="0"/>
    <xf numFmtId="38" fontId="106" fillId="0" borderId="0" applyFont="0" applyFill="0" applyBorder="0" applyAlignment="0" applyProtection="0"/>
    <xf numFmtId="40" fontId="106" fillId="0" borderId="0" applyFont="0" applyFill="0" applyBorder="0" applyAlignment="0" applyProtection="0"/>
    <xf numFmtId="38" fontId="106" fillId="0" borderId="0" applyFont="0" applyFill="0" applyBorder="0" applyAlignment="0" applyProtection="0"/>
    <xf numFmtId="40" fontId="106" fillId="0" borderId="0" applyFont="0" applyFill="0" applyBorder="0" applyAlignment="0" applyProtection="0"/>
    <xf numFmtId="0" fontId="127" fillId="0" borderId="12"/>
    <xf numFmtId="205" fontId="7" fillId="0" borderId="0" applyFont="0" applyFill="0" applyBorder="0" applyAlignment="0" applyProtection="0"/>
    <xf numFmtId="206" fontId="7" fillId="0" borderId="0" applyFont="0" applyFill="0" applyBorder="0" applyAlignment="0" applyProtection="0"/>
    <xf numFmtId="207" fontId="128" fillId="0" borderId="15"/>
    <xf numFmtId="208" fontId="14" fillId="0" borderId="0" applyFont="0" applyFill="0" applyBorder="0" applyAlignment="0" applyProtection="0"/>
    <xf numFmtId="208" fontId="14" fillId="0" borderId="0" applyFont="0" applyFill="0" applyBorder="0" applyAlignment="0" applyProtection="0"/>
    <xf numFmtId="198" fontId="129" fillId="0" borderId="0" applyFont="0" applyFill="0" applyBorder="0" applyAlignment="0" applyProtection="0"/>
    <xf numFmtId="202" fontId="129" fillId="0" borderId="0" applyFont="0" applyFill="0" applyBorder="0" applyAlignment="0" applyProtection="0"/>
    <xf numFmtId="0" fontId="130" fillId="0" borderId="0" applyNumberFormat="0" applyFont="0" applyFill="0" applyAlignment="0"/>
    <xf numFmtId="0" fontId="131" fillId="25" borderId="0" applyNumberFormat="0" applyBorder="0" applyAlignment="0" applyProtection="0"/>
    <xf numFmtId="0" fontId="7" fillId="0" borderId="0"/>
    <xf numFmtId="37" fontId="132" fillId="0" borderId="0"/>
    <xf numFmtId="209" fontId="133"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71" fillId="0" borderId="0"/>
    <xf numFmtId="0" fontId="29" fillId="0" borderId="0"/>
    <xf numFmtId="0" fontId="31" fillId="0" borderId="0"/>
    <xf numFmtId="0" fontId="20" fillId="0" borderId="0"/>
    <xf numFmtId="0" fontId="14" fillId="0" borderId="0"/>
    <xf numFmtId="0" fontId="14" fillId="0" borderId="0"/>
    <xf numFmtId="0" fontId="1" fillId="0" borderId="0"/>
    <xf numFmtId="0" fontId="1" fillId="0" borderId="0"/>
    <xf numFmtId="0" fontId="30" fillId="0" borderId="0"/>
    <xf numFmtId="0" fontId="14" fillId="0" borderId="0"/>
    <xf numFmtId="0" fontId="14" fillId="0" borderId="0"/>
    <xf numFmtId="0" fontId="20" fillId="0" borderId="0"/>
    <xf numFmtId="0" fontId="20" fillId="0" borderId="0"/>
    <xf numFmtId="0" fontId="31" fillId="0" borderId="0"/>
    <xf numFmtId="0" fontId="14" fillId="0" borderId="0"/>
    <xf numFmtId="0" fontId="171" fillId="0" borderId="0"/>
    <xf numFmtId="0" fontId="20" fillId="0" borderId="0"/>
    <xf numFmtId="0" fontId="14" fillId="0" borderId="0"/>
    <xf numFmtId="0" fontId="14" fillId="0" borderId="0"/>
    <xf numFmtId="0" fontId="14" fillId="0" borderId="0"/>
    <xf numFmtId="0" fontId="1" fillId="0" borderId="0"/>
    <xf numFmtId="0" fontId="1" fillId="0" borderId="0"/>
    <xf numFmtId="0" fontId="2" fillId="0" borderId="0"/>
    <xf numFmtId="0" fontId="1" fillId="0" borderId="0"/>
    <xf numFmtId="0" fontId="126" fillId="23" borderId="0"/>
    <xf numFmtId="0" fontId="107" fillId="0" borderId="0"/>
    <xf numFmtId="0" fontId="14" fillId="22" borderId="9" applyNumberFormat="0" applyFont="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20" borderId="0" applyNumberFormat="0" applyBorder="0" applyAlignment="0" applyProtection="0"/>
    <xf numFmtId="171" fontId="135" fillId="0" borderId="0" applyFont="0" applyFill="0" applyBorder="0" applyAlignment="0" applyProtection="0"/>
    <xf numFmtId="170" fontId="135" fillId="0" borderId="0" applyFont="0" applyFill="0" applyBorder="0" applyAlignment="0" applyProtection="0"/>
    <xf numFmtId="0" fontId="136" fillId="0" borderId="0" applyNumberFormat="0" applyFill="0" applyBorder="0" applyAlignment="0" applyProtection="0"/>
    <xf numFmtId="0" fontId="1" fillId="0" borderId="0" applyNumberFormat="0" applyFill="0" applyBorder="0" applyAlignment="0" applyProtection="0"/>
    <xf numFmtId="0" fontId="14" fillId="0" borderId="0" applyFont="0" applyFill="0" applyBorder="0" applyAlignment="0" applyProtection="0"/>
    <xf numFmtId="0" fontId="7" fillId="0" borderId="0"/>
    <xf numFmtId="0" fontId="137" fillId="2" borderId="5" applyNumberFormat="0" applyAlignment="0" applyProtection="0"/>
    <xf numFmtId="0" fontId="134" fillId="0" borderId="14" applyNumberFormat="0" applyFill="0" applyAlignment="0" applyProtection="0"/>
    <xf numFmtId="14" fontId="25" fillId="0" borderId="0">
      <alignment horizontal="center" wrapText="1"/>
      <protection locked="0"/>
    </xf>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0" fontId="106" fillId="0" borderId="0" applyNumberFormat="0" applyFont="0" applyFill="0" applyBorder="0" applyAlignment="0" applyProtection="0">
      <alignment horizontal="left"/>
    </xf>
    <xf numFmtId="15" fontId="106" fillId="0" borderId="0" applyFont="0" applyFill="0" applyBorder="0" applyAlignment="0" applyProtection="0"/>
    <xf numFmtId="4" fontId="106" fillId="0" borderId="0" applyFont="0" applyFill="0" applyBorder="0" applyAlignment="0" applyProtection="0"/>
    <xf numFmtId="0" fontId="138" fillId="0" borderId="12">
      <alignment horizontal="center"/>
    </xf>
    <xf numFmtId="3" fontId="106" fillId="0" borderId="0" applyFont="0" applyFill="0" applyBorder="0" applyAlignment="0" applyProtection="0"/>
    <xf numFmtId="0" fontId="106" fillId="26" borderId="0" applyNumberFormat="0" applyFont="0" applyBorder="0" applyAlignment="0" applyProtection="0"/>
    <xf numFmtId="0" fontId="139" fillId="27" borderId="0" applyNumberFormat="0" applyFont="0" applyBorder="0" applyAlignment="0">
      <alignment horizontal="center"/>
    </xf>
    <xf numFmtId="14" fontId="140" fillId="0" borderId="0" applyNumberFormat="0" applyFill="0" applyBorder="0" applyAlignment="0" applyProtection="0">
      <alignment horizontal="left"/>
    </xf>
    <xf numFmtId="0" fontId="1" fillId="0" borderId="0" applyNumberFormat="0" applyFill="0" applyBorder="0" applyAlignment="0" applyProtection="0"/>
    <xf numFmtId="4" fontId="141" fillId="25" borderId="16" applyNumberFormat="0" applyProtection="0">
      <alignment vertical="center"/>
    </xf>
    <xf numFmtId="4" fontId="142" fillId="25" borderId="16" applyNumberFormat="0" applyProtection="0">
      <alignment vertical="center"/>
    </xf>
    <xf numFmtId="4" fontId="72" fillId="25" borderId="16" applyNumberFormat="0" applyProtection="0">
      <alignment horizontal="left" vertical="center" indent="1"/>
    </xf>
    <xf numFmtId="4" fontId="72" fillId="28" borderId="0" applyNumberFormat="0" applyProtection="0">
      <alignment horizontal="left" vertical="center" indent="1"/>
    </xf>
    <xf numFmtId="4" fontId="72" fillId="18" borderId="16" applyNumberFormat="0" applyProtection="0">
      <alignment horizontal="right" vertical="center"/>
    </xf>
    <xf numFmtId="4" fontId="72" fillId="4" borderId="16" applyNumberFormat="0" applyProtection="0">
      <alignment horizontal="right" vertical="center"/>
    </xf>
    <xf numFmtId="4" fontId="72" fillId="10" borderId="16" applyNumberFormat="0" applyProtection="0">
      <alignment horizontal="right" vertical="center"/>
    </xf>
    <xf numFmtId="4" fontId="72" fillId="5" borderId="16" applyNumberFormat="0" applyProtection="0">
      <alignment horizontal="right" vertical="center"/>
    </xf>
    <xf numFmtId="4" fontId="72" fillId="12" borderId="16" applyNumberFormat="0" applyProtection="0">
      <alignment horizontal="right" vertical="center"/>
    </xf>
    <xf numFmtId="4" fontId="72" fillId="8" borderId="16" applyNumberFormat="0" applyProtection="0">
      <alignment horizontal="right" vertical="center"/>
    </xf>
    <xf numFmtId="4" fontId="72" fillId="29" borderId="16" applyNumberFormat="0" applyProtection="0">
      <alignment horizontal="right" vertical="center"/>
    </xf>
    <xf numFmtId="4" fontId="72" fillId="19" borderId="16" applyNumberFormat="0" applyProtection="0">
      <alignment horizontal="right" vertical="center"/>
    </xf>
    <xf numFmtId="4" fontId="72" fillId="30" borderId="16" applyNumberFormat="0" applyProtection="0">
      <alignment horizontal="right" vertical="center"/>
    </xf>
    <xf numFmtId="4" fontId="141" fillId="31" borderId="17" applyNumberFormat="0" applyProtection="0">
      <alignment horizontal="left" vertical="center" indent="1"/>
    </xf>
    <xf numFmtId="4" fontId="141" fillId="9" borderId="0" applyNumberFormat="0" applyProtection="0">
      <alignment horizontal="left" vertical="center" indent="1"/>
    </xf>
    <xf numFmtId="4" fontId="141" fillId="28" borderId="0" applyNumberFormat="0" applyProtection="0">
      <alignment horizontal="left" vertical="center" indent="1"/>
    </xf>
    <xf numFmtId="4" fontId="72" fillId="9" borderId="16" applyNumberFormat="0" applyProtection="0">
      <alignment horizontal="right" vertical="center"/>
    </xf>
    <xf numFmtId="4" fontId="13" fillId="9" borderId="0" applyNumberFormat="0" applyProtection="0">
      <alignment horizontal="left" vertical="center" indent="1"/>
    </xf>
    <xf numFmtId="4" fontId="13" fillId="28" borderId="0" applyNumberFormat="0" applyProtection="0">
      <alignment horizontal="left" vertical="center" indent="1"/>
    </xf>
    <xf numFmtId="4" fontId="72" fillId="32" borderId="16" applyNumberFormat="0" applyProtection="0">
      <alignment vertical="center"/>
    </xf>
    <xf numFmtId="4" fontId="143" fillId="32" borderId="16" applyNumberFormat="0" applyProtection="0">
      <alignment vertical="center"/>
    </xf>
    <xf numFmtId="4" fontId="141" fillId="9" borderId="18" applyNumberFormat="0" applyProtection="0">
      <alignment horizontal="left" vertical="center" indent="1"/>
    </xf>
    <xf numFmtId="4" fontId="72" fillId="32" borderId="16" applyNumberFormat="0" applyProtection="0">
      <alignment horizontal="right" vertical="center"/>
    </xf>
    <xf numFmtId="4" fontId="143" fillId="32" borderId="16" applyNumberFormat="0" applyProtection="0">
      <alignment horizontal="right" vertical="center"/>
    </xf>
    <xf numFmtId="4" fontId="141" fillId="9" borderId="16" applyNumberFormat="0" applyProtection="0">
      <alignment horizontal="left" vertical="center" indent="1"/>
    </xf>
    <xf numFmtId="4" fontId="144" fillId="33" borderId="18" applyNumberFormat="0" applyProtection="0">
      <alignment horizontal="left" vertical="center" indent="1"/>
    </xf>
    <xf numFmtId="4" fontId="145" fillId="32" borderId="16" applyNumberFormat="0" applyProtection="0">
      <alignment horizontal="right" vertical="center"/>
    </xf>
    <xf numFmtId="192" fontId="7" fillId="0" borderId="0" applyFont="0" applyFill="0" applyBorder="0" applyAlignment="0" applyProtection="0"/>
    <xf numFmtId="193" fontId="7" fillId="0" borderId="0" applyFont="0" applyFill="0" applyBorder="0" applyAlignment="0" applyProtection="0"/>
    <xf numFmtId="0" fontId="139" fillId="1" borderId="11" applyNumberFormat="0" applyFont="0" applyAlignment="0">
      <alignment horizontal="center"/>
    </xf>
    <xf numFmtId="0" fontId="146" fillId="0" borderId="0" applyNumberFormat="0" applyFill="0" applyBorder="0" applyAlignment="0">
      <alignment horizontal="center"/>
    </xf>
    <xf numFmtId="202" fontId="129" fillId="0" borderId="0">
      <alignment horizontal="center"/>
    </xf>
    <xf numFmtId="0" fontId="1" fillId="0" borderId="19">
      <alignment horizontal="center"/>
    </xf>
    <xf numFmtId="0" fontId="42" fillId="0" borderId="0" applyNumberFormat="0" applyFill="0" applyBorder="0" applyAlignment="0" applyProtection="0"/>
    <xf numFmtId="0" fontId="1" fillId="0" borderId="19">
      <alignment horizontal="center"/>
    </xf>
    <xf numFmtId="0" fontId="127" fillId="0" borderId="0"/>
    <xf numFmtId="40" fontId="147" fillId="0" borderId="0" applyBorder="0">
      <alignment horizontal="right"/>
    </xf>
    <xf numFmtId="210" fontId="136" fillId="0" borderId="20">
      <alignment horizontal="right" vertical="center"/>
    </xf>
    <xf numFmtId="42" fontId="42" fillId="0" borderId="20">
      <alignment horizontal="right" vertical="center"/>
    </xf>
    <xf numFmtId="210" fontId="136" fillId="0" borderId="20">
      <alignment horizontal="right" vertical="center"/>
    </xf>
    <xf numFmtId="210" fontId="136" fillId="0" borderId="20">
      <alignment horizontal="right" vertical="center"/>
    </xf>
    <xf numFmtId="210" fontId="136" fillId="0" borderId="20">
      <alignment horizontal="right" vertical="center"/>
    </xf>
    <xf numFmtId="210" fontId="136" fillId="0" borderId="20">
      <alignment horizontal="right" vertical="center"/>
    </xf>
    <xf numFmtId="183"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1" fontId="42" fillId="0" borderId="20">
      <alignment horizontal="right" vertical="center"/>
    </xf>
    <xf numFmtId="211" fontId="42" fillId="0" borderId="20">
      <alignment horizontal="right" vertical="center"/>
    </xf>
    <xf numFmtId="42" fontId="42" fillId="0" borderId="20">
      <alignment horizontal="right" vertical="center"/>
    </xf>
    <xf numFmtId="212" fontId="42" fillId="0" borderId="20">
      <alignment horizontal="right" vertical="center"/>
    </xf>
    <xf numFmtId="21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3" fontId="136" fillId="0" borderId="20">
      <alignment horizontal="right" vertical="center"/>
    </xf>
    <xf numFmtId="213" fontId="136" fillId="0" borderId="20">
      <alignment horizontal="right" vertical="center"/>
    </xf>
    <xf numFmtId="213" fontId="136" fillId="0" borderId="20">
      <alignment horizontal="right" vertical="center"/>
    </xf>
    <xf numFmtId="212" fontId="42" fillId="0" borderId="20">
      <alignment horizontal="right" vertical="center"/>
    </xf>
    <xf numFmtId="42" fontId="42" fillId="0" borderId="20">
      <alignment horizontal="right" vertical="center"/>
    </xf>
    <xf numFmtId="187" fontId="42" fillId="0" borderId="20">
      <alignment horizontal="right" vertical="center"/>
    </xf>
    <xf numFmtId="214" fontId="1" fillId="0" borderId="20">
      <alignment horizontal="right" vertical="center"/>
    </xf>
    <xf numFmtId="214" fontId="1"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42" fontId="42"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42" fontId="42" fillId="0" borderId="20">
      <alignment horizontal="right" vertical="center"/>
    </xf>
    <xf numFmtId="42" fontId="42" fillId="0" borderId="20">
      <alignment horizontal="right" vertical="center"/>
    </xf>
    <xf numFmtId="210" fontId="136" fillId="0" borderId="20">
      <alignment horizontal="right" vertical="center"/>
    </xf>
    <xf numFmtId="210" fontId="136" fillId="0" borderId="20">
      <alignment horizontal="right" vertical="center"/>
    </xf>
    <xf numFmtId="210" fontId="136"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21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5" fontId="136" fillId="0" borderId="20">
      <alignment horizontal="right" vertical="center"/>
    </xf>
    <xf numFmtId="215" fontId="136" fillId="0" borderId="20">
      <alignment horizontal="right" vertical="center"/>
    </xf>
    <xf numFmtId="215" fontId="136"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181"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6" fontId="1" fillId="0" borderId="20">
      <alignment horizontal="right" vertical="center"/>
    </xf>
    <xf numFmtId="216" fontId="1" fillId="0" borderId="20">
      <alignment horizontal="right" vertical="center"/>
    </xf>
    <xf numFmtId="216" fontId="1" fillId="0" borderId="20">
      <alignment horizontal="right" vertical="center"/>
    </xf>
    <xf numFmtId="216" fontId="1" fillId="0" borderId="20">
      <alignment horizontal="right" vertical="center"/>
    </xf>
    <xf numFmtId="216" fontId="1" fillId="0" borderId="20">
      <alignment horizontal="right" vertical="center"/>
    </xf>
    <xf numFmtId="216" fontId="1" fillId="0" borderId="20">
      <alignment horizontal="right" vertical="center"/>
    </xf>
    <xf numFmtId="210" fontId="136" fillId="0" borderId="20">
      <alignment horizontal="right" vertical="center"/>
    </xf>
    <xf numFmtId="210" fontId="136" fillId="0" borderId="20">
      <alignment horizontal="right" vertical="center"/>
    </xf>
    <xf numFmtId="210" fontId="136"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6" fontId="1" fillId="0" borderId="20">
      <alignment horizontal="right" vertical="center"/>
    </xf>
    <xf numFmtId="42" fontId="42" fillId="0" borderId="20">
      <alignment horizontal="right" vertical="center"/>
    </xf>
    <xf numFmtId="42" fontId="42" fillId="0" borderId="20">
      <alignment horizontal="right" vertical="center"/>
    </xf>
    <xf numFmtId="42" fontId="42" fillId="0" borderId="20">
      <alignment horizontal="right" vertical="center"/>
    </xf>
    <xf numFmtId="216" fontId="1" fillId="0" borderId="20">
      <alignment horizontal="right" vertical="center"/>
    </xf>
    <xf numFmtId="0" fontId="149" fillId="0" borderId="0" applyNumberFormat="0" applyFill="0" applyBorder="0" applyAlignment="0" applyProtection="0"/>
    <xf numFmtId="0" fontId="150" fillId="2" borderId="2" applyNumberFormat="0" applyAlignment="0" applyProtection="0"/>
    <xf numFmtId="0" fontId="151" fillId="0" borderId="0" applyNumberFormat="0" applyFill="0" applyBorder="0" applyAlignment="0" applyProtection="0"/>
    <xf numFmtId="0" fontId="14" fillId="0" borderId="22" applyNumberFormat="0" applyFont="0" applyFill="0" applyAlignment="0" applyProtection="0"/>
    <xf numFmtId="0" fontId="153" fillId="0" borderId="21" applyNumberFormat="0" applyFill="0" applyAlignment="0" applyProtection="0"/>
    <xf numFmtId="0" fontId="71" fillId="0" borderId="21" applyNumberFormat="0" applyFill="0" applyAlignment="0" applyProtection="0"/>
    <xf numFmtId="0" fontId="152" fillId="5" borderId="0" applyNumberFormat="0" applyBorder="0" applyAlignment="0" applyProtection="0"/>
    <xf numFmtId="217" fontId="136" fillId="0" borderId="20">
      <alignment horizontal="center"/>
    </xf>
    <xf numFmtId="0" fontId="148" fillId="0" borderId="23"/>
    <xf numFmtId="0" fontId="136" fillId="0" borderId="0" applyNumberFormat="0" applyFill="0" applyBorder="0" applyAlignment="0" applyProtection="0"/>
    <xf numFmtId="0" fontId="14" fillId="0" borderId="0" applyNumberFormat="0" applyFill="0" applyBorder="0" applyAlignment="0" applyProtection="0"/>
    <xf numFmtId="0" fontId="154" fillId="25" borderId="0" applyNumberFormat="0" applyBorder="0" applyAlignment="0" applyProtection="0"/>
    <xf numFmtId="218" fontId="128" fillId="0" borderId="0" applyFont="0" applyFill="0" applyBorder="0" applyAlignment="0" applyProtection="0"/>
    <xf numFmtId="219" fontId="155" fillId="0" borderId="0" applyFont="0" applyFill="0" applyBorder="0" applyAlignment="0" applyProtection="0"/>
    <xf numFmtId="0" fontId="73" fillId="0" borderId="0" applyNumberFormat="0" applyFill="0" applyBorder="0" applyAlignment="0" applyProtection="0"/>
    <xf numFmtId="0" fontId="156" fillId="0" borderId="0" applyNumberFormat="0" applyFill="0" applyBorder="0" applyAlignment="0" applyProtection="0"/>
    <xf numFmtId="220" fontId="136" fillId="0" borderId="0"/>
    <xf numFmtId="215" fontId="136" fillId="0" borderId="13"/>
    <xf numFmtId="164" fontId="42" fillId="0" borderId="19">
      <alignment horizontal="left" vertical="top"/>
    </xf>
    <xf numFmtId="0" fontId="158" fillId="0" borderId="19">
      <alignment horizontal="left" vertical="center"/>
    </xf>
    <xf numFmtId="0" fontId="12" fillId="34" borderId="13">
      <alignment horizontal="left" vertical="center"/>
    </xf>
    <xf numFmtId="164" fontId="157" fillId="0" borderId="3">
      <alignment horizontal="left" vertical="top"/>
    </xf>
    <xf numFmtId="221" fontId="14" fillId="0" borderId="0" applyFont="0" applyFill="0" applyBorder="0" applyAlignment="0" applyProtection="0"/>
    <xf numFmtId="222" fontId="14" fillId="0" borderId="0" applyFont="0" applyFill="0" applyBorder="0" applyAlignment="0" applyProtection="0"/>
    <xf numFmtId="166" fontId="107" fillId="0" borderId="0" applyFont="0" applyFill="0" applyBorder="0" applyAlignment="0" applyProtection="0"/>
    <xf numFmtId="168" fontId="107" fillId="0" borderId="0" applyFont="0" applyFill="0" applyBorder="0" applyAlignment="0" applyProtection="0"/>
    <xf numFmtId="0" fontId="159" fillId="0" borderId="0" applyNumberFormat="0" applyFill="0" applyBorder="0" applyAlignment="0" applyProtection="0"/>
    <xf numFmtId="0" fontId="160" fillId="4" borderId="0" applyNumberFormat="0" applyBorder="0" applyAlignment="0" applyProtection="0"/>
    <xf numFmtId="0" fontId="161" fillId="0" borderId="0" applyNumberForma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2" fillId="0" borderId="0">
      <alignment vertical="center"/>
    </xf>
    <xf numFmtId="40" fontId="163" fillId="0" borderId="0" applyFont="0" applyFill="0" applyBorder="0" applyAlignment="0" applyProtection="0"/>
    <xf numFmtId="38" fontId="163" fillId="0" borderId="0" applyFont="0" applyFill="0" applyBorder="0" applyAlignment="0" applyProtection="0"/>
    <xf numFmtId="0" fontId="163" fillId="0" borderId="0" applyFont="0" applyFill="0" applyBorder="0" applyAlignment="0" applyProtection="0"/>
    <xf numFmtId="0" fontId="163" fillId="0" borderId="0" applyFont="0" applyFill="0" applyBorder="0" applyAlignment="0" applyProtection="0"/>
    <xf numFmtId="9" fontId="164" fillId="0" borderId="0" applyFont="0" applyFill="0" applyBorder="0" applyAlignment="0" applyProtection="0"/>
    <xf numFmtId="0" fontId="165" fillId="0" borderId="0"/>
    <xf numFmtId="0" fontId="164" fillId="0" borderId="0" applyFont="0" applyFill="0" applyBorder="0" applyAlignment="0" applyProtection="0"/>
    <xf numFmtId="0" fontId="164" fillId="0" borderId="0" applyFont="0" applyFill="0" applyBorder="0" applyAlignment="0" applyProtection="0"/>
    <xf numFmtId="223" fontId="164" fillId="0" borderId="0" applyFont="0" applyFill="0" applyBorder="0" applyAlignment="0" applyProtection="0"/>
    <xf numFmtId="224" fontId="164" fillId="0" borderId="0" applyFont="0" applyFill="0" applyBorder="0" applyAlignment="0" applyProtection="0"/>
    <xf numFmtId="0" fontId="166" fillId="0" borderId="0"/>
    <xf numFmtId="0" fontId="130" fillId="0" borderId="0"/>
    <xf numFmtId="170" fontId="167" fillId="0" borderId="0" applyFont="0" applyFill="0" applyBorder="0" applyAlignment="0" applyProtection="0"/>
    <xf numFmtId="171" fontId="167" fillId="0" borderId="0" applyFont="0" applyFill="0" applyBorder="0" applyAlignment="0" applyProtection="0"/>
    <xf numFmtId="0" fontId="14" fillId="0" borderId="0"/>
    <xf numFmtId="41" fontId="14" fillId="0" borderId="0" applyFont="0" applyFill="0" applyBorder="0" applyAlignment="0" applyProtection="0"/>
    <xf numFmtId="0" fontId="168" fillId="0" borderId="0"/>
    <xf numFmtId="225" fontId="167" fillId="0" borderId="0" applyFont="0" applyFill="0" applyBorder="0" applyAlignment="0" applyProtection="0"/>
    <xf numFmtId="165" fontId="80" fillId="0" borderId="0" applyFont="0" applyFill="0" applyBorder="0" applyAlignment="0" applyProtection="0"/>
    <xf numFmtId="226" fontId="167" fillId="0" borderId="0" applyFont="0" applyFill="0" applyBorder="0" applyAlignment="0" applyProtection="0"/>
    <xf numFmtId="171" fontId="106" fillId="0" borderId="0" applyNumberFormat="0" applyFont="0" applyFill="0" applyBorder="0" applyAlignment="0" applyProtection="0"/>
  </cellStyleXfs>
  <cellXfs count="1617">
    <xf numFmtId="0" fontId="0" fillId="0" borderId="0" xfId="0"/>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Alignment="1">
      <alignment horizontal="center"/>
    </xf>
    <xf numFmtId="0" fontId="2" fillId="0" borderId="0" xfId="0" applyFont="1"/>
    <xf numFmtId="0" fontId="6" fillId="0" borderId="0" xfId="0" applyFont="1" applyAlignment="1">
      <alignment horizontal="center"/>
    </xf>
    <xf numFmtId="0" fontId="7" fillId="0" borderId="0" xfId="0" applyFont="1" applyAlignment="1">
      <alignment vertical="center" wrapText="1"/>
    </xf>
    <xf numFmtId="169" fontId="4" fillId="0" borderId="0" xfId="103" applyFont="1" applyFill="1"/>
    <xf numFmtId="169" fontId="2" fillId="0" borderId="0" xfId="103" applyFont="1" applyFill="1"/>
    <xf numFmtId="0" fontId="3" fillId="0" borderId="0" xfId="0" applyFont="1"/>
    <xf numFmtId="0" fontId="3" fillId="0" borderId="0" xfId="0" applyFont="1" applyAlignment="1">
      <alignment horizontal="center"/>
    </xf>
    <xf numFmtId="169" fontId="8" fillId="0" borderId="0" xfId="103" applyFont="1" applyFill="1"/>
    <xf numFmtId="169" fontId="3" fillId="0" borderId="0" xfId="103" applyFont="1" applyFill="1"/>
    <xf numFmtId="0" fontId="6" fillId="0" borderId="0" xfId="0" applyFont="1" applyAlignment="1">
      <alignment vertical="center" wrapText="1"/>
    </xf>
    <xf numFmtId="0" fontId="11" fillId="0" borderId="0" xfId="0" applyFont="1" applyAlignment="1">
      <alignment vertical="center" wrapText="1"/>
    </xf>
    <xf numFmtId="173" fontId="10" fillId="0" borderId="13" xfId="103" applyNumberFormat="1" applyFont="1" applyFill="1" applyBorder="1" applyAlignment="1">
      <alignment vertical="center" wrapText="1"/>
    </xf>
    <xf numFmtId="0" fontId="6" fillId="0" borderId="13" xfId="0" applyFont="1" applyBorder="1" applyAlignment="1">
      <alignment horizontal="center"/>
    </xf>
    <xf numFmtId="173" fontId="10" fillId="0" borderId="13" xfId="0" applyNumberFormat="1" applyFont="1" applyBorder="1" applyAlignment="1">
      <alignment horizontal="center" vertical="center" wrapText="1"/>
    </xf>
    <xf numFmtId="0" fontId="6" fillId="0" borderId="0" xfId="0" applyFont="1"/>
    <xf numFmtId="0" fontId="5" fillId="0" borderId="0" xfId="0" applyFont="1" applyAlignment="1">
      <alignment horizontal="center" vertical="center" wrapText="1"/>
    </xf>
    <xf numFmtId="0" fontId="5" fillId="0" borderId="24" xfId="0" applyFont="1" applyBorder="1" applyAlignment="1">
      <alignment horizontal="center" vertical="center" wrapText="1"/>
    </xf>
    <xf numFmtId="173" fontId="6" fillId="0" borderId="25" xfId="103" applyNumberFormat="1" applyFont="1" applyFill="1" applyBorder="1" applyAlignment="1">
      <alignment horizontal="center" vertical="center" wrapText="1"/>
    </xf>
    <xf numFmtId="0" fontId="6" fillId="0" borderId="0" xfId="233" applyFont="1" applyAlignment="1">
      <alignment vertical="center" wrapText="1"/>
    </xf>
    <xf numFmtId="173" fontId="6" fillId="0" borderId="15" xfId="103" applyNumberFormat="1" applyFont="1" applyFill="1" applyBorder="1" applyAlignment="1">
      <alignment horizontal="center" vertical="center" wrapText="1"/>
    </xf>
    <xf numFmtId="0" fontId="19" fillId="0" borderId="0" xfId="233" applyFont="1" applyAlignment="1">
      <alignment vertical="center" wrapText="1"/>
    </xf>
    <xf numFmtId="0" fontId="7" fillId="0" borderId="26" xfId="233" applyFont="1" applyBorder="1" applyAlignment="1">
      <alignment vertical="center" wrapText="1"/>
    </xf>
    <xf numFmtId="173" fontId="7" fillId="0" borderId="26" xfId="233" applyNumberFormat="1" applyFont="1" applyBorder="1" applyAlignment="1">
      <alignment vertical="center" wrapText="1"/>
    </xf>
    <xf numFmtId="0" fontId="7" fillId="0" borderId="0" xfId="233" applyFont="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xf>
    <xf numFmtId="173" fontId="2" fillId="0" borderId="13" xfId="103" applyNumberFormat="1" applyFont="1" applyFill="1" applyBorder="1" applyAlignment="1">
      <alignment vertical="center" wrapText="1"/>
    </xf>
    <xf numFmtId="0" fontId="7" fillId="0" borderId="0" xfId="0" applyFont="1"/>
    <xf numFmtId="0" fontId="7" fillId="0" borderId="27" xfId="0" applyFont="1" applyBorder="1" applyAlignment="1">
      <alignment horizontal="center" vertical="center" wrapText="1"/>
    </xf>
    <xf numFmtId="0" fontId="10" fillId="0" borderId="13" xfId="0" applyFont="1" applyBorder="1" applyAlignment="1">
      <alignment vertical="center"/>
    </xf>
    <xf numFmtId="0" fontId="6" fillId="0" borderId="28" xfId="0" applyFont="1" applyBorder="1" applyAlignment="1">
      <alignment horizontal="center" vertical="center" wrapText="1"/>
    </xf>
    <xf numFmtId="0" fontId="6" fillId="0" borderId="28" xfId="0" applyFont="1" applyBorder="1" applyAlignment="1">
      <alignment vertical="center" wrapText="1"/>
    </xf>
    <xf numFmtId="173" fontId="10" fillId="0" borderId="28" xfId="0" applyNumberFormat="1" applyFont="1" applyBorder="1" applyAlignment="1">
      <alignment horizontal="center" vertical="center" wrapText="1"/>
    </xf>
    <xf numFmtId="173" fontId="10" fillId="0" borderId="28" xfId="103" applyNumberFormat="1" applyFont="1" applyFill="1" applyBorder="1" applyAlignment="1">
      <alignment vertical="center" wrapText="1"/>
    </xf>
    <xf numFmtId="0" fontId="7" fillId="0" borderId="27" xfId="0" applyFont="1" applyBorder="1" applyAlignment="1">
      <alignment vertical="center" wrapText="1"/>
    </xf>
    <xf numFmtId="173" fontId="9" fillId="0" borderId="27" xfId="0" applyNumberFormat="1" applyFont="1" applyBorder="1" applyAlignment="1">
      <alignment horizontal="center" vertical="center" wrapText="1"/>
    </xf>
    <xf numFmtId="173" fontId="9" fillId="0" borderId="27" xfId="103" applyNumberFormat="1" applyFont="1" applyFill="1" applyBorder="1" applyAlignment="1">
      <alignment vertical="center" wrapText="1"/>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173" fontId="10" fillId="0" borderId="27" xfId="0" applyNumberFormat="1" applyFont="1" applyBorder="1" applyAlignment="1">
      <alignment horizontal="center" vertical="center" wrapText="1"/>
    </xf>
    <xf numFmtId="173" fontId="10" fillId="0" borderId="27" xfId="103" applyNumberFormat="1" applyFont="1" applyFill="1" applyBorder="1" applyAlignment="1">
      <alignment vertical="center" wrapText="1"/>
    </xf>
    <xf numFmtId="173" fontId="17" fillId="0" borderId="27" xfId="103" applyNumberFormat="1" applyFont="1" applyFill="1" applyBorder="1" applyAlignment="1">
      <alignment vertical="center" wrapText="1"/>
    </xf>
    <xf numFmtId="172" fontId="9" fillId="0" borderId="27" xfId="0" applyNumberFormat="1" applyFont="1" applyBorder="1" applyAlignment="1">
      <alignment horizontal="center" vertical="center" wrapText="1"/>
    </xf>
    <xf numFmtId="172" fontId="9" fillId="0" borderId="27" xfId="103" applyNumberFormat="1" applyFont="1" applyFill="1" applyBorder="1" applyAlignment="1">
      <alignment vertical="center" wrapText="1"/>
    </xf>
    <xf numFmtId="172" fontId="7" fillId="0" borderId="27" xfId="103" applyNumberFormat="1" applyFont="1" applyFill="1" applyBorder="1" applyAlignment="1">
      <alignment horizontal="center" vertical="center" wrapText="1"/>
    </xf>
    <xf numFmtId="172" fontId="7" fillId="0" borderId="27" xfId="103" applyNumberFormat="1" applyFont="1" applyFill="1" applyBorder="1" applyAlignment="1">
      <alignment horizontal="center" vertical="center"/>
    </xf>
    <xf numFmtId="0" fontId="7" fillId="0" borderId="27" xfId="0" quotePrefix="1" applyFont="1" applyBorder="1" applyAlignment="1">
      <alignment horizontal="center" vertical="center" wrapText="1"/>
    </xf>
    <xf numFmtId="0" fontId="7" fillId="0" borderId="29" xfId="0" quotePrefix="1" applyFont="1" applyBorder="1" applyAlignment="1">
      <alignment horizontal="center" vertical="center" wrapText="1"/>
    </xf>
    <xf numFmtId="173" fontId="9" fillId="0" borderId="29" xfId="103" applyNumberFormat="1" applyFont="1" applyFill="1" applyBorder="1" applyAlignment="1">
      <alignment vertical="center" wrapText="1"/>
    </xf>
    <xf numFmtId="173" fontId="9" fillId="0" borderId="29" xfId="103" applyNumberFormat="1" applyFont="1" applyFill="1" applyBorder="1" applyAlignment="1">
      <alignment horizontal="center" vertical="center" wrapText="1"/>
    </xf>
    <xf numFmtId="173" fontId="9" fillId="0" borderId="29"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7" fillId="0" borderId="28" xfId="0" applyFont="1" applyBorder="1" applyAlignment="1">
      <alignment vertical="center" wrapText="1"/>
    </xf>
    <xf numFmtId="173" fontId="9" fillId="0" borderId="28" xfId="0" applyNumberFormat="1" applyFont="1" applyBorder="1" applyAlignment="1">
      <alignment horizontal="center" vertical="center" wrapText="1"/>
    </xf>
    <xf numFmtId="173" fontId="9" fillId="0" borderId="28" xfId="103" applyNumberFormat="1" applyFont="1" applyFill="1" applyBorder="1" applyAlignment="1">
      <alignment vertical="center" wrapText="1"/>
    </xf>
    <xf numFmtId="0" fontId="10" fillId="0" borderId="28" xfId="0" applyFont="1" applyBorder="1" applyAlignment="1">
      <alignment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9" fillId="0" borderId="27" xfId="0" applyFont="1" applyBorder="1" applyAlignment="1">
      <alignment vertical="center" wrapText="1"/>
    </xf>
    <xf numFmtId="0" fontId="11" fillId="0" borderId="29" xfId="0" applyFont="1" applyBorder="1" applyAlignment="1">
      <alignment horizontal="center" vertical="center" wrapText="1"/>
    </xf>
    <xf numFmtId="0" fontId="11" fillId="0" borderId="29" xfId="0" applyFont="1" applyBorder="1" applyAlignment="1">
      <alignment vertical="center" wrapText="1"/>
    </xf>
    <xf numFmtId="173" fontId="17" fillId="0" borderId="29" xfId="0" applyNumberFormat="1" applyFont="1" applyBorder="1" applyAlignment="1">
      <alignment horizontal="center" vertical="center" wrapText="1"/>
    </xf>
    <xf numFmtId="173" fontId="17" fillId="0" borderId="29" xfId="103" applyNumberFormat="1" applyFont="1" applyFill="1" applyBorder="1" applyAlignment="1">
      <alignment vertical="center" wrapText="1"/>
    </xf>
    <xf numFmtId="0" fontId="17" fillId="0" borderId="29" xfId="0" applyFont="1" applyBorder="1" applyAlignment="1">
      <alignment vertical="center" wrapText="1"/>
    </xf>
    <xf numFmtId="0" fontId="7" fillId="0" borderId="28" xfId="0" quotePrefix="1" applyFont="1" applyBorder="1" applyAlignment="1">
      <alignment horizontal="center" vertical="center" wrapText="1"/>
    </xf>
    <xf numFmtId="0" fontId="9" fillId="0" borderId="2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0" xfId="0" applyFont="1" applyAlignment="1">
      <alignment horizontal="center"/>
    </xf>
    <xf numFmtId="0" fontId="4" fillId="0" borderId="13" xfId="0" applyFont="1" applyBorder="1"/>
    <xf numFmtId="0" fontId="2" fillId="0" borderId="13" xfId="0" applyFont="1" applyBorder="1" applyAlignment="1">
      <alignment vertical="center" wrapText="1"/>
    </xf>
    <xf numFmtId="0" fontId="4" fillId="0" borderId="13" xfId="0" applyFont="1" applyBorder="1" applyAlignment="1">
      <alignment horizontal="center" vertical="center"/>
    </xf>
    <xf numFmtId="173" fontId="4" fillId="0" borderId="13" xfId="103" applyNumberFormat="1" applyFont="1" applyFill="1" applyBorder="1" applyAlignment="1">
      <alignment horizontal="center" vertical="center"/>
    </xf>
    <xf numFmtId="0" fontId="26" fillId="0" borderId="0" xfId="0" applyFont="1"/>
    <xf numFmtId="0" fontId="32" fillId="0" borderId="0" xfId="0" applyFont="1" applyAlignment="1">
      <alignment horizontal="center" vertical="center" wrapText="1"/>
    </xf>
    <xf numFmtId="0" fontId="21" fillId="0" borderId="25" xfId="233" applyFont="1" applyBorder="1" applyAlignment="1">
      <alignment horizontal="center" vertical="center" wrapText="1"/>
    </xf>
    <xf numFmtId="0" fontId="21" fillId="0" borderId="13" xfId="233" applyFont="1" applyBorder="1" applyAlignment="1">
      <alignment horizontal="center" vertical="center" wrapText="1"/>
    </xf>
    <xf numFmtId="180" fontId="21" fillId="0" borderId="13" xfId="233" applyNumberFormat="1" applyFont="1" applyBorder="1" applyAlignment="1">
      <alignment horizontal="center" vertical="center" wrapText="1"/>
    </xf>
    <xf numFmtId="0" fontId="26" fillId="0" borderId="15" xfId="233" applyFont="1" applyBorder="1" applyAlignment="1">
      <alignment horizontal="center" vertical="center" wrapText="1"/>
    </xf>
    <xf numFmtId="0" fontId="26" fillId="0" borderId="13" xfId="233" applyFont="1" applyBorder="1" applyAlignment="1">
      <alignment horizontal="left" vertical="center" wrapText="1"/>
    </xf>
    <xf numFmtId="172" fontId="26" fillId="0" borderId="13" xfId="103" applyNumberFormat="1" applyFont="1" applyFill="1" applyBorder="1" applyAlignment="1">
      <alignment vertical="center" wrapText="1"/>
    </xf>
    <xf numFmtId="180" fontId="26" fillId="0" borderId="13" xfId="233" applyNumberFormat="1" applyFont="1" applyBorder="1" applyAlignment="1">
      <alignment horizontal="center" vertical="center" wrapText="1"/>
    </xf>
    <xf numFmtId="0" fontId="34" fillId="0" borderId="31" xfId="233" applyFont="1" applyBorder="1" applyAlignment="1">
      <alignment horizontal="center" vertical="center" wrapText="1"/>
    </xf>
    <xf numFmtId="0" fontId="34" fillId="0" borderId="13" xfId="233" applyFont="1" applyBorder="1" applyAlignment="1">
      <alignment horizontal="left" vertical="center" wrapText="1"/>
    </xf>
    <xf numFmtId="172" fontId="34" fillId="0" borderId="13" xfId="103" applyNumberFormat="1" applyFont="1" applyFill="1" applyBorder="1" applyAlignment="1">
      <alignment vertical="center" wrapText="1"/>
    </xf>
    <xf numFmtId="0" fontId="26" fillId="0" borderId="25" xfId="233" applyFont="1" applyBorder="1" applyAlignment="1">
      <alignment horizontal="center" vertical="center" wrapText="1"/>
    </xf>
    <xf numFmtId="0" fontId="26" fillId="0" borderId="13" xfId="233" applyFont="1" applyBorder="1" applyAlignment="1">
      <alignment vertical="center" wrapText="1"/>
    </xf>
    <xf numFmtId="172" fontId="21" fillId="0" borderId="13" xfId="103" applyNumberFormat="1" applyFont="1" applyFill="1" applyBorder="1" applyAlignment="1">
      <alignment vertical="center" wrapText="1"/>
    </xf>
    <xf numFmtId="173" fontId="6" fillId="0" borderId="0" xfId="0" applyNumberFormat="1" applyFont="1"/>
    <xf numFmtId="173" fontId="9" fillId="0" borderId="27" xfId="103" applyNumberFormat="1" applyFont="1" applyFill="1" applyBorder="1" applyAlignment="1">
      <alignment horizontal="center" vertical="center" wrapText="1"/>
    </xf>
    <xf numFmtId="0" fontId="25" fillId="0" borderId="0" xfId="0" applyFont="1" applyAlignment="1">
      <alignment horizontal="center"/>
    </xf>
    <xf numFmtId="0" fontId="24" fillId="0" borderId="0" xfId="0" applyFont="1"/>
    <xf numFmtId="0" fontId="25" fillId="0" borderId="0" xfId="0" applyFont="1"/>
    <xf numFmtId="184" fontId="25" fillId="0" borderId="0" xfId="0" applyNumberFormat="1" applyFont="1" applyAlignment="1">
      <alignment shrinkToFit="1"/>
    </xf>
    <xf numFmtId="184" fontId="25" fillId="0" borderId="0" xfId="0" applyNumberFormat="1" applyFont="1" applyAlignment="1">
      <alignment horizontal="center"/>
    </xf>
    <xf numFmtId="0" fontId="24" fillId="0" borderId="0" xfId="0" applyFont="1" applyAlignment="1">
      <alignment horizontal="center"/>
    </xf>
    <xf numFmtId="169" fontId="3" fillId="35" borderId="0" xfId="103" applyFont="1" applyFill="1"/>
    <xf numFmtId="0" fontId="7" fillId="0" borderId="13" xfId="0" applyFont="1" applyBorder="1" applyAlignment="1">
      <alignment horizontal="justify" vertical="center" wrapText="1"/>
    </xf>
    <xf numFmtId="169" fontId="3" fillId="36" borderId="0" xfId="103" applyFont="1" applyFill="1"/>
    <xf numFmtId="0" fontId="0" fillId="36" borderId="0" xfId="0" applyFill="1"/>
    <xf numFmtId="173" fontId="6" fillId="0" borderId="28" xfId="103" applyNumberFormat="1" applyFont="1" applyFill="1" applyBorder="1" applyAlignment="1">
      <alignment horizontal="center" vertical="center" wrapText="1"/>
    </xf>
    <xf numFmtId="172" fontId="6" fillId="0" borderId="28" xfId="103" applyNumberFormat="1" applyFont="1" applyFill="1" applyBorder="1" applyAlignment="1">
      <alignment horizontal="center" vertical="center" wrapText="1"/>
    </xf>
    <xf numFmtId="173" fontId="7" fillId="0" borderId="27" xfId="103" applyNumberFormat="1" applyFont="1" applyFill="1" applyBorder="1" applyAlignment="1">
      <alignment horizontal="center" vertical="center" wrapText="1"/>
    </xf>
    <xf numFmtId="173" fontId="6" fillId="0" borderId="27" xfId="103" applyNumberFormat="1" applyFont="1" applyFill="1" applyBorder="1" applyAlignment="1">
      <alignment horizontal="center" vertical="center" wrapText="1"/>
    </xf>
    <xf numFmtId="172" fontId="6" fillId="0" borderId="27" xfId="103" applyNumberFormat="1" applyFont="1" applyFill="1" applyBorder="1" applyAlignment="1">
      <alignment horizontal="center" vertical="center" wrapText="1"/>
    </xf>
    <xf numFmtId="173" fontId="6" fillId="0" borderId="29" xfId="103" applyNumberFormat="1" applyFont="1" applyFill="1" applyBorder="1" applyAlignment="1">
      <alignment horizontal="center" vertical="center" wrapText="1"/>
    </xf>
    <xf numFmtId="172" fontId="6" fillId="0" borderId="29" xfId="103" applyNumberFormat="1" applyFont="1" applyFill="1" applyBorder="1" applyAlignment="1">
      <alignment horizontal="center" vertical="center" wrapText="1"/>
    </xf>
    <xf numFmtId="0" fontId="2" fillId="0" borderId="13" xfId="0" applyFont="1" applyBorder="1"/>
    <xf numFmtId="0" fontId="2" fillId="36" borderId="13" xfId="0" applyFont="1" applyFill="1" applyBorder="1"/>
    <xf numFmtId="0" fontId="2" fillId="35" borderId="0" xfId="182" applyFont="1" applyFill="1" applyAlignment="1">
      <alignment vertical="center"/>
    </xf>
    <xf numFmtId="0" fontId="44" fillId="35" borderId="0" xfId="182" applyFont="1" applyFill="1" applyAlignment="1">
      <alignment vertical="center"/>
    </xf>
    <xf numFmtId="0" fontId="45" fillId="35" borderId="0" xfId="182" applyFont="1" applyFill="1" applyAlignment="1">
      <alignment horizontal="center" vertical="center"/>
    </xf>
    <xf numFmtId="0" fontId="45" fillId="35" borderId="0" xfId="182" applyFont="1" applyFill="1" applyAlignment="1">
      <alignment horizontal="right" vertical="center"/>
    </xf>
    <xf numFmtId="0" fontId="43" fillId="35" borderId="0" xfId="182" applyFont="1" applyFill="1" applyAlignment="1">
      <alignment horizontal="center" vertical="center"/>
    </xf>
    <xf numFmtId="0" fontId="3" fillId="35" borderId="24" xfId="182" applyFont="1" applyFill="1" applyBorder="1"/>
    <xf numFmtId="0" fontId="47" fillId="35" borderId="24" xfId="182" applyFont="1" applyFill="1" applyBorder="1"/>
    <xf numFmtId="0" fontId="48" fillId="35" borderId="24" xfId="182" applyFont="1" applyFill="1" applyBorder="1" applyAlignment="1">
      <alignment horizontal="center"/>
    </xf>
    <xf numFmtId="0" fontId="48" fillId="35" borderId="24" xfId="182" applyFont="1" applyFill="1" applyBorder="1" applyAlignment="1">
      <alignment horizontal="right"/>
    </xf>
    <xf numFmtId="0" fontId="49" fillId="35" borderId="24" xfId="182" applyFont="1" applyFill="1" applyBorder="1" applyAlignment="1">
      <alignment horizontal="center"/>
    </xf>
    <xf numFmtId="0" fontId="41" fillId="35" borderId="13" xfId="182" applyFont="1" applyFill="1" applyBorder="1" applyAlignment="1">
      <alignment horizontal="center" vertical="center" wrapText="1"/>
    </xf>
    <xf numFmtId="0" fontId="50" fillId="35" borderId="13" xfId="182" applyFont="1" applyFill="1" applyBorder="1" applyAlignment="1">
      <alignment horizontal="center" vertical="center"/>
    </xf>
    <xf numFmtId="0" fontId="39" fillId="35" borderId="13" xfId="182" quotePrefix="1" applyFont="1" applyFill="1" applyBorder="1" applyAlignment="1">
      <alignment horizontal="center" vertical="center"/>
    </xf>
    <xf numFmtId="0" fontId="48" fillId="35" borderId="13" xfId="182" quotePrefix="1" applyFont="1" applyFill="1" applyBorder="1" applyAlignment="1">
      <alignment horizontal="center" vertical="center"/>
    </xf>
    <xf numFmtId="0" fontId="48" fillId="35" borderId="13" xfId="182" applyFont="1" applyFill="1" applyBorder="1" applyAlignment="1">
      <alignment horizontal="center" vertical="center"/>
    </xf>
    <xf numFmtId="0" fontId="48" fillId="35" borderId="13" xfId="182" quotePrefix="1" applyFont="1" applyFill="1" applyBorder="1" applyAlignment="1">
      <alignment horizontal="right" vertical="center"/>
    </xf>
    <xf numFmtId="0" fontId="4" fillId="35" borderId="3" xfId="182" applyFont="1" applyFill="1" applyBorder="1" applyAlignment="1">
      <alignment horizontal="center" vertical="center"/>
    </xf>
    <xf numFmtId="0" fontId="23" fillId="35" borderId="3" xfId="182" applyFont="1" applyFill="1" applyBorder="1" applyAlignment="1">
      <alignment horizontal="center" vertical="center"/>
    </xf>
    <xf numFmtId="173" fontId="23" fillId="35" borderId="3" xfId="103" applyNumberFormat="1" applyFont="1" applyFill="1" applyBorder="1" applyAlignment="1">
      <alignment horizontal="right" vertical="center"/>
    </xf>
    <xf numFmtId="39" fontId="23" fillId="35" borderId="3" xfId="103" applyNumberFormat="1" applyFont="1" applyFill="1" applyBorder="1" applyAlignment="1">
      <alignment horizontal="right" vertical="center"/>
    </xf>
    <xf numFmtId="39" fontId="23" fillId="0" borderId="19" xfId="103" applyNumberFormat="1" applyFont="1" applyFill="1" applyBorder="1" applyAlignment="1">
      <alignment horizontal="right" vertical="center"/>
    </xf>
    <xf numFmtId="4" fontId="23" fillId="0" borderId="19" xfId="103" applyNumberFormat="1" applyFont="1" applyFill="1" applyBorder="1" applyAlignment="1">
      <alignment horizontal="right" vertical="center"/>
    </xf>
    <xf numFmtId="4" fontId="23" fillId="35" borderId="3" xfId="182" applyNumberFormat="1" applyFont="1" applyFill="1" applyBorder="1" applyAlignment="1">
      <alignment horizontal="right" vertical="center"/>
    </xf>
    <xf numFmtId="0" fontId="2" fillId="0" borderId="31" xfId="182" applyFont="1" applyBorder="1" applyAlignment="1">
      <alignment horizontal="center" vertical="center"/>
    </xf>
    <xf numFmtId="0" fontId="35" fillId="0" borderId="31" xfId="182" applyFont="1" applyBorder="1" applyAlignment="1">
      <alignment vertical="center" wrapText="1"/>
    </xf>
    <xf numFmtId="173" fontId="22" fillId="0" borderId="31" xfId="103" applyNumberFormat="1" applyFont="1" applyFill="1" applyBorder="1" applyAlignment="1">
      <alignment horizontal="right" vertical="center"/>
    </xf>
    <xf numFmtId="4" fontId="22" fillId="0" borderId="31" xfId="103" applyNumberFormat="1" applyFont="1" applyFill="1" applyBorder="1" applyAlignment="1">
      <alignment horizontal="right" vertical="center"/>
    </xf>
    <xf numFmtId="182" fontId="22" fillId="0" borderId="31" xfId="103" applyNumberFormat="1" applyFont="1" applyFill="1" applyBorder="1" applyAlignment="1">
      <alignment horizontal="right" vertical="center"/>
    </xf>
    <xf numFmtId="4" fontId="22" fillId="0" borderId="31" xfId="121" applyNumberFormat="1" applyFont="1" applyFill="1" applyBorder="1" applyAlignment="1">
      <alignment horizontal="right" vertical="center"/>
    </xf>
    <xf numFmtId="0" fontId="35" fillId="0" borderId="31" xfId="182" applyFont="1" applyBorder="1" applyAlignment="1">
      <alignment horizontal="center" vertical="center" wrapText="1"/>
    </xf>
    <xf numFmtId="4" fontId="22" fillId="0" borderId="31" xfId="182" applyNumberFormat="1" applyFont="1" applyBorder="1" applyAlignment="1">
      <alignment horizontal="right" vertical="center"/>
    </xf>
    <xf numFmtId="0" fontId="22" fillId="0" borderId="31" xfId="182" applyFont="1" applyBorder="1" applyAlignment="1">
      <alignment vertical="center" wrapText="1"/>
    </xf>
    <xf numFmtId="0" fontId="22" fillId="0" borderId="31" xfId="182" applyFont="1" applyBorder="1" applyAlignment="1">
      <alignment horizontal="center" vertical="center" wrapText="1"/>
    </xf>
    <xf numFmtId="4" fontId="22" fillId="0" borderId="31" xfId="182" applyNumberFormat="1" applyFont="1" applyBorder="1" applyAlignment="1">
      <alignment horizontal="center" vertical="center"/>
    </xf>
    <xf numFmtId="0" fontId="22" fillId="0" borderId="31" xfId="182" applyFont="1" applyBorder="1" applyAlignment="1">
      <alignment vertical="center"/>
    </xf>
    <xf numFmtId="0" fontId="22" fillId="0" borderId="31" xfId="182" applyFont="1" applyBorder="1" applyAlignment="1">
      <alignment horizontal="center" vertical="center"/>
    </xf>
    <xf numFmtId="4" fontId="22" fillId="0" borderId="31" xfId="182" applyNumberFormat="1" applyFont="1" applyBorder="1" applyAlignment="1">
      <alignment vertical="center" wrapText="1"/>
    </xf>
    <xf numFmtId="0" fontId="2" fillId="0" borderId="25" xfId="182" applyFont="1" applyBorder="1" applyAlignment="1">
      <alignment horizontal="center" vertical="center"/>
    </xf>
    <xf numFmtId="0" fontId="35" fillId="0" borderId="25" xfId="182" applyFont="1" applyBorder="1" applyAlignment="1">
      <alignment vertical="center" wrapText="1"/>
    </xf>
    <xf numFmtId="173" fontId="22" fillId="0" borderId="25" xfId="103" applyNumberFormat="1" applyFont="1" applyFill="1" applyBorder="1" applyAlignment="1">
      <alignment horizontal="right" vertical="center"/>
    </xf>
    <xf numFmtId="4" fontId="22" fillId="0" borderId="25" xfId="103" applyNumberFormat="1" applyFont="1" applyFill="1" applyBorder="1" applyAlignment="1">
      <alignment horizontal="right" vertical="center"/>
    </xf>
    <xf numFmtId="4" fontId="22" fillId="0" borderId="25" xfId="121" applyNumberFormat="1" applyFont="1" applyFill="1" applyBorder="1" applyAlignment="1">
      <alignment horizontal="right" vertical="center"/>
    </xf>
    <xf numFmtId="0" fontId="22" fillId="0" borderId="25" xfId="182" applyFont="1" applyBorder="1" applyAlignment="1">
      <alignment horizontal="center" vertical="center"/>
    </xf>
    <xf numFmtId="4" fontId="22" fillId="0" borderId="25" xfId="182" applyNumberFormat="1" applyFont="1" applyBorder="1" applyAlignment="1">
      <alignment vertical="center" wrapText="1"/>
    </xf>
    <xf numFmtId="0" fontId="4" fillId="35" borderId="0" xfId="182" applyFont="1" applyFill="1" applyAlignment="1">
      <alignment vertical="center"/>
    </xf>
    <xf numFmtId="0" fontId="4" fillId="35" borderId="0" xfId="182" applyFont="1" applyFill="1" applyAlignment="1">
      <alignment horizontal="center" vertical="center"/>
    </xf>
    <xf numFmtId="3" fontId="4" fillId="35" borderId="0" xfId="182" applyNumberFormat="1" applyFont="1" applyFill="1" applyAlignment="1">
      <alignment horizontal="center" vertical="center"/>
    </xf>
    <xf numFmtId="3" fontId="4" fillId="35" borderId="0" xfId="182" applyNumberFormat="1" applyFont="1" applyFill="1" applyAlignment="1">
      <alignment horizontal="right" vertical="center"/>
    </xf>
    <xf numFmtId="0" fontId="39" fillId="35" borderId="24" xfId="182" applyFont="1" applyFill="1" applyBorder="1" applyAlignment="1">
      <alignment horizontal="center"/>
    </xf>
    <xf numFmtId="0" fontId="3" fillId="35" borderId="24" xfId="182" applyFont="1" applyFill="1" applyBorder="1" applyAlignment="1">
      <alignment horizontal="center"/>
    </xf>
    <xf numFmtId="3" fontId="39" fillId="35" borderId="24" xfId="182" applyNumberFormat="1" applyFont="1" applyFill="1" applyBorder="1" applyAlignment="1">
      <alignment horizontal="center"/>
    </xf>
    <xf numFmtId="3" fontId="39" fillId="35" borderId="24" xfId="182" applyNumberFormat="1" applyFont="1" applyFill="1" applyBorder="1" applyAlignment="1">
      <alignment horizontal="right"/>
    </xf>
    <xf numFmtId="0" fontId="39" fillId="0" borderId="13" xfId="182" quotePrefix="1" applyFont="1" applyBorder="1" applyAlignment="1">
      <alignment horizontal="center" vertical="center"/>
    </xf>
    <xf numFmtId="3" fontId="39" fillId="0" borderId="13" xfId="182" quotePrefix="1" applyNumberFormat="1" applyFont="1" applyBorder="1" applyAlignment="1">
      <alignment horizontal="center" vertical="center"/>
    </xf>
    <xf numFmtId="3" fontId="39" fillId="0" borderId="13" xfId="103" quotePrefix="1" applyNumberFormat="1" applyFont="1" applyFill="1" applyBorder="1" applyAlignment="1">
      <alignment horizontal="center" vertical="center"/>
    </xf>
    <xf numFmtId="0" fontId="4" fillId="0" borderId="13" xfId="182" applyFont="1" applyBorder="1" applyAlignment="1">
      <alignment horizontal="center" vertical="center"/>
    </xf>
    <xf numFmtId="3" fontId="4" fillId="0" borderId="13" xfId="103" applyNumberFormat="1" applyFont="1" applyFill="1" applyBorder="1" applyAlignment="1">
      <alignment horizontal="right" vertical="center"/>
    </xf>
    <xf numFmtId="0" fontId="4" fillId="0" borderId="32" xfId="182" applyFont="1" applyBorder="1" applyAlignment="1">
      <alignment horizontal="center" vertical="center"/>
    </xf>
    <xf numFmtId="0" fontId="36" fillId="0" borderId="32" xfId="182" applyFont="1" applyBorder="1" applyAlignment="1">
      <alignment vertical="center" wrapText="1"/>
    </xf>
    <xf numFmtId="3" fontId="4" fillId="0" borderId="32" xfId="103" applyNumberFormat="1" applyFont="1" applyFill="1" applyBorder="1" applyAlignment="1">
      <alignment horizontal="center" vertical="center"/>
    </xf>
    <xf numFmtId="3" fontId="4" fillId="0" borderId="32" xfId="121" applyNumberFormat="1" applyFont="1" applyFill="1" applyBorder="1" applyAlignment="1">
      <alignment horizontal="right" vertical="center"/>
    </xf>
    <xf numFmtId="3" fontId="4" fillId="0" borderId="32" xfId="103" applyNumberFormat="1" applyFont="1" applyFill="1" applyBorder="1" applyAlignment="1">
      <alignment horizontal="right" vertical="center"/>
    </xf>
    <xf numFmtId="0" fontId="4" fillId="0" borderId="31" xfId="182" applyFont="1" applyBorder="1" applyAlignment="1">
      <alignment horizontal="center" vertical="center"/>
    </xf>
    <xf numFmtId="0" fontId="4" fillId="0" borderId="31" xfId="182" applyFont="1" applyBorder="1" applyAlignment="1">
      <alignment vertical="center" wrapText="1"/>
    </xf>
    <xf numFmtId="3" fontId="4" fillId="0" borderId="31" xfId="103" applyNumberFormat="1" applyFont="1" applyFill="1" applyBorder="1" applyAlignment="1">
      <alignment horizontal="right" vertical="center"/>
    </xf>
    <xf numFmtId="0" fontId="43" fillId="0" borderId="31" xfId="182" quotePrefix="1" applyFont="1" applyBorder="1" applyAlignment="1">
      <alignment horizontal="center" vertical="center"/>
    </xf>
    <xf numFmtId="0" fontId="43" fillId="0" borderId="31" xfId="182" applyFont="1" applyBorder="1" applyAlignment="1">
      <alignment vertical="center" wrapText="1"/>
    </xf>
    <xf numFmtId="3" fontId="43" fillId="0" borderId="31" xfId="103" applyNumberFormat="1" applyFont="1" applyFill="1" applyBorder="1" applyAlignment="1">
      <alignment horizontal="right" vertical="center"/>
    </xf>
    <xf numFmtId="0" fontId="2" fillId="0" borderId="31" xfId="182" applyFont="1" applyBorder="1" applyAlignment="1">
      <alignment vertical="center"/>
    </xf>
    <xf numFmtId="3" fontId="2" fillId="0" borderId="31" xfId="103" applyNumberFormat="1" applyFont="1" applyFill="1" applyBorder="1" applyAlignment="1">
      <alignment horizontal="center" vertical="center"/>
    </xf>
    <xf numFmtId="3" fontId="2" fillId="0" borderId="31" xfId="103" applyNumberFormat="1" applyFont="1" applyFill="1" applyBorder="1" applyAlignment="1">
      <alignment horizontal="right" vertical="center"/>
    </xf>
    <xf numFmtId="3" fontId="2" fillId="0" borderId="31" xfId="121" applyNumberFormat="1" applyFont="1" applyFill="1" applyBorder="1" applyAlignment="1">
      <alignment horizontal="right" vertical="center"/>
    </xf>
    <xf numFmtId="0" fontId="43" fillId="0" borderId="31" xfId="182" applyFont="1" applyBorder="1" applyAlignment="1">
      <alignment vertical="center"/>
    </xf>
    <xf numFmtId="0" fontId="2" fillId="0" borderId="31" xfId="182" applyFont="1" applyBorder="1" applyAlignment="1">
      <alignment vertical="center" wrapText="1"/>
    </xf>
    <xf numFmtId="0" fontId="43" fillId="0" borderId="31" xfId="182" applyFont="1" applyBorder="1" applyAlignment="1">
      <alignment horizontal="center" vertical="center"/>
    </xf>
    <xf numFmtId="0" fontId="2" fillId="0" borderId="25" xfId="182" applyFont="1" applyBorder="1" applyAlignment="1">
      <alignment vertical="center" wrapText="1"/>
    </xf>
    <xf numFmtId="3" fontId="2" fillId="0" borderId="25" xfId="103" applyNumberFormat="1" applyFont="1" applyFill="1" applyBorder="1" applyAlignment="1">
      <alignment horizontal="center" vertical="center"/>
    </xf>
    <xf numFmtId="3" fontId="2" fillId="0" borderId="25" xfId="103" applyNumberFormat="1" applyFont="1" applyFill="1" applyBorder="1" applyAlignment="1">
      <alignment horizontal="right" vertical="center"/>
    </xf>
    <xf numFmtId="3" fontId="2" fillId="0" borderId="25" xfId="121" applyNumberFormat="1" applyFont="1" applyFill="1" applyBorder="1" applyAlignment="1">
      <alignment horizontal="right" vertical="center"/>
    </xf>
    <xf numFmtId="0" fontId="4" fillId="0" borderId="15" xfId="182" applyFont="1" applyBorder="1" applyAlignment="1">
      <alignment horizontal="center" vertical="center"/>
    </xf>
    <xf numFmtId="0" fontId="4" fillId="0" borderId="15" xfId="182" applyFont="1" applyBorder="1" applyAlignment="1">
      <alignment vertical="center" wrapText="1"/>
    </xf>
    <xf numFmtId="3" fontId="4" fillId="0" borderId="15" xfId="103" applyNumberFormat="1" applyFont="1" applyFill="1" applyBorder="1" applyAlignment="1">
      <alignment horizontal="right" vertical="center"/>
    </xf>
    <xf numFmtId="3" fontId="2" fillId="0" borderId="31" xfId="103" applyNumberFormat="1" applyFont="1" applyFill="1" applyBorder="1" applyAlignment="1">
      <alignment horizontal="center" vertical="center" wrapText="1"/>
    </xf>
    <xf numFmtId="3" fontId="2" fillId="0" borderId="31" xfId="121" applyNumberFormat="1" applyFont="1" applyFill="1" applyBorder="1" applyAlignment="1">
      <alignment horizontal="right" vertical="center" wrapText="1"/>
    </xf>
    <xf numFmtId="0" fontId="4" fillId="0" borderId="31" xfId="182" applyFont="1" applyBorder="1" applyAlignment="1">
      <alignment horizontal="center" vertical="center" wrapText="1"/>
    </xf>
    <xf numFmtId="3" fontId="4" fillId="0" borderId="31" xfId="121" applyNumberFormat="1" applyFont="1" applyFill="1" applyBorder="1" applyAlignment="1">
      <alignment horizontal="right" vertical="center"/>
    </xf>
    <xf numFmtId="0" fontId="4" fillId="0" borderId="31" xfId="182" quotePrefix="1" applyFont="1" applyBorder="1" applyAlignment="1">
      <alignment horizontal="center" vertical="center" wrapText="1"/>
    </xf>
    <xf numFmtId="0" fontId="2" fillId="0" borderId="31" xfId="182" quotePrefix="1" applyFont="1" applyBorder="1" applyAlignment="1">
      <alignment horizontal="center" vertical="center" wrapText="1"/>
    </xf>
    <xf numFmtId="0" fontId="43" fillId="0" borderId="31" xfId="182" quotePrefix="1" applyFont="1" applyBorder="1" applyAlignment="1">
      <alignment horizontal="center" vertical="center" wrapText="1"/>
    </xf>
    <xf numFmtId="0" fontId="43" fillId="0" borderId="31" xfId="182" applyFont="1" applyBorder="1" applyAlignment="1">
      <alignment horizontal="center" vertical="center" wrapText="1"/>
    </xf>
    <xf numFmtId="0" fontId="2" fillId="0" borderId="25" xfId="182" quotePrefix="1" applyFont="1" applyBorder="1" applyAlignment="1">
      <alignment horizontal="center" vertical="center" wrapText="1"/>
    </xf>
    <xf numFmtId="3" fontId="2" fillId="0" borderId="25" xfId="103" applyNumberFormat="1" applyFont="1" applyFill="1" applyBorder="1" applyAlignment="1">
      <alignment horizontal="center" vertical="center" wrapText="1"/>
    </xf>
    <xf numFmtId="3" fontId="2" fillId="0" borderId="25" xfId="121" applyNumberFormat="1" applyFont="1" applyFill="1" applyBorder="1" applyAlignment="1">
      <alignment horizontal="right" vertical="center" wrapText="1"/>
    </xf>
    <xf numFmtId="0" fontId="43" fillId="0" borderId="15" xfId="182" applyFont="1" applyBorder="1" applyAlignment="1">
      <alignment horizontal="center" vertical="center" wrapText="1"/>
    </xf>
    <xf numFmtId="0" fontId="43" fillId="0" borderId="15" xfId="182" applyFont="1" applyBorder="1" applyAlignment="1">
      <alignment vertical="center" wrapText="1"/>
    </xf>
    <xf numFmtId="0" fontId="43" fillId="0" borderId="15" xfId="182" applyFont="1" applyBorder="1" applyAlignment="1">
      <alignment horizontal="center" vertical="center"/>
    </xf>
    <xf numFmtId="3" fontId="43" fillId="0" borderId="15" xfId="103" applyNumberFormat="1" applyFont="1" applyFill="1" applyBorder="1" applyAlignment="1">
      <alignment horizontal="right" vertical="center"/>
    </xf>
    <xf numFmtId="3" fontId="4" fillId="0" borderId="31" xfId="103" applyNumberFormat="1" applyFont="1" applyFill="1" applyBorder="1" applyAlignment="1">
      <alignment horizontal="center" vertical="center" wrapText="1"/>
    </xf>
    <xf numFmtId="3" fontId="4" fillId="0" borderId="31" xfId="121" applyNumberFormat="1" applyFont="1" applyFill="1" applyBorder="1" applyAlignment="1">
      <alignment horizontal="right" vertical="center" wrapText="1"/>
    </xf>
    <xf numFmtId="0" fontId="37" fillId="0" borderId="31" xfId="182" applyFont="1" applyBorder="1" applyAlignment="1">
      <alignment vertical="center" wrapText="1"/>
    </xf>
    <xf numFmtId="0" fontId="2" fillId="0" borderId="31" xfId="182" quotePrefix="1" applyFont="1" applyBorder="1" applyAlignment="1">
      <alignment horizontal="center" vertical="center"/>
    </xf>
    <xf numFmtId="0" fontId="4" fillId="0" borderId="31" xfId="182" quotePrefix="1" applyFont="1" applyBorder="1" applyAlignment="1">
      <alignment horizontal="center" vertical="center"/>
    </xf>
    <xf numFmtId="0" fontId="2" fillId="0" borderId="25" xfId="182" quotePrefix="1" applyFont="1" applyBorder="1" applyAlignment="1">
      <alignment horizontal="center" vertical="center"/>
    </xf>
    <xf numFmtId="0" fontId="4" fillId="0" borderId="15" xfId="182" quotePrefix="1" applyFont="1" applyBorder="1" applyAlignment="1">
      <alignment horizontal="center" vertical="center"/>
    </xf>
    <xf numFmtId="0" fontId="4" fillId="0" borderId="31" xfId="182" applyFont="1" applyBorder="1" applyAlignment="1">
      <alignment horizontal="left" vertical="center"/>
    </xf>
    <xf numFmtId="0" fontId="43" fillId="0" borderId="31" xfId="182" applyFont="1" applyBorder="1" applyAlignment="1">
      <alignment horizontal="left" vertical="center"/>
    </xf>
    <xf numFmtId="0" fontId="2" fillId="0" borderId="25" xfId="182" applyFont="1" applyBorder="1" applyAlignment="1">
      <alignment horizontal="left" vertical="center"/>
    </xf>
    <xf numFmtId="0" fontId="4" fillId="0" borderId="15" xfId="182" applyFont="1" applyBorder="1" applyAlignment="1">
      <alignment horizontal="left" vertical="center"/>
    </xf>
    <xf numFmtId="0" fontId="2" fillId="0" borderId="31" xfId="182" applyFont="1" applyBorder="1" applyAlignment="1">
      <alignment horizontal="left" vertical="center"/>
    </xf>
    <xf numFmtId="3" fontId="43" fillId="0" borderId="31" xfId="103" applyNumberFormat="1" applyFont="1" applyFill="1" applyBorder="1" applyAlignment="1">
      <alignment horizontal="center" vertical="center" wrapText="1"/>
    </xf>
    <xf numFmtId="3" fontId="43" fillId="0" borderId="31" xfId="121" applyNumberFormat="1" applyFont="1" applyFill="1" applyBorder="1" applyAlignment="1">
      <alignment horizontal="right" vertical="center" wrapText="1"/>
    </xf>
    <xf numFmtId="0" fontId="5" fillId="0" borderId="31" xfId="182" applyFont="1" applyBorder="1" applyAlignment="1">
      <alignment horizontal="center" vertical="center"/>
    </xf>
    <xf numFmtId="0" fontId="2" fillId="0" borderId="15" xfId="182" applyFont="1" applyBorder="1" applyAlignment="1">
      <alignment horizontal="center" vertical="center"/>
    </xf>
    <xf numFmtId="0" fontId="4" fillId="0" borderId="25" xfId="182" applyFont="1" applyBorder="1" applyAlignment="1">
      <alignment horizontal="center" vertical="center"/>
    </xf>
    <xf numFmtId="3" fontId="4" fillId="0" borderId="25" xfId="103" applyNumberFormat="1" applyFont="1" applyFill="1" applyBorder="1" applyAlignment="1">
      <alignment horizontal="center" vertical="center" wrapText="1"/>
    </xf>
    <xf numFmtId="3" fontId="4" fillId="0" borderId="25" xfId="103" applyNumberFormat="1" applyFont="1" applyFill="1" applyBorder="1" applyAlignment="1">
      <alignment horizontal="right" vertical="center"/>
    </xf>
    <xf numFmtId="3" fontId="4" fillId="0" borderId="25" xfId="121" applyNumberFormat="1" applyFont="1" applyFill="1" applyBorder="1" applyAlignment="1">
      <alignment horizontal="right" vertical="center" wrapText="1"/>
    </xf>
    <xf numFmtId="0" fontId="4" fillId="0" borderId="32" xfId="182" applyFont="1" applyBorder="1" applyAlignment="1">
      <alignment horizontal="left" vertical="center"/>
    </xf>
    <xf numFmtId="3" fontId="4" fillId="0" borderId="32" xfId="103" applyNumberFormat="1" applyFont="1" applyFill="1" applyBorder="1" applyAlignment="1">
      <alignment horizontal="center" vertical="center" wrapText="1"/>
    </xf>
    <xf numFmtId="3" fontId="4" fillId="0" borderId="32" xfId="121" applyNumberFormat="1" applyFont="1" applyFill="1" applyBorder="1" applyAlignment="1">
      <alignment horizontal="right" vertical="center" wrapText="1"/>
    </xf>
    <xf numFmtId="4" fontId="22" fillId="0" borderId="13" xfId="103" applyNumberFormat="1" applyFont="1" applyFill="1"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4" fontId="12" fillId="0" borderId="0" xfId="0" applyNumberFormat="1" applyFont="1"/>
    <xf numFmtId="184" fontId="52" fillId="0" borderId="0" xfId="0" applyNumberFormat="1" applyFont="1" applyAlignment="1">
      <alignment shrinkToFit="1"/>
    </xf>
    <xf numFmtId="0" fontId="52" fillId="0" borderId="0" xfId="0" applyFont="1"/>
    <xf numFmtId="0" fontId="7" fillId="0" borderId="0" xfId="0" applyFont="1" applyAlignment="1">
      <alignment horizontal="center" vertical="center"/>
    </xf>
    <xf numFmtId="0" fontId="52" fillId="0" borderId="0" xfId="0" applyFont="1" applyAlignment="1">
      <alignment horizontal="center"/>
    </xf>
    <xf numFmtId="184" fontId="52" fillId="0" borderId="0" xfId="0" applyNumberFormat="1" applyFont="1" applyAlignment="1">
      <alignment horizontal="center"/>
    </xf>
    <xf numFmtId="180" fontId="52" fillId="0" borderId="0" xfId="0" applyNumberFormat="1" applyFont="1" applyAlignment="1">
      <alignment horizontal="center"/>
    </xf>
    <xf numFmtId="0" fontId="51" fillId="0" borderId="0" xfId="0" applyFont="1" applyAlignment="1">
      <alignment horizontal="center"/>
    </xf>
    <xf numFmtId="0" fontId="51" fillId="0" borderId="0" xfId="0" applyFont="1"/>
    <xf numFmtId="0" fontId="52" fillId="0" borderId="13" xfId="0" applyFont="1" applyBorder="1" applyAlignment="1">
      <alignment horizontal="centerContinuous" vertical="center" wrapText="1"/>
    </xf>
    <xf numFmtId="0" fontId="7" fillId="0" borderId="13" xfId="0" quotePrefix="1" applyFont="1" applyBorder="1" applyAlignment="1">
      <alignment horizontal="center" vertical="center" wrapText="1" shrinkToFit="1"/>
    </xf>
    <xf numFmtId="0" fontId="25" fillId="0" borderId="13" xfId="0" quotePrefix="1" applyFont="1" applyBorder="1" applyAlignment="1">
      <alignment horizontal="center" vertical="center" wrapText="1" shrinkToFit="1"/>
    </xf>
    <xf numFmtId="178" fontId="6" fillId="0" borderId="13" xfId="0" applyNumberFormat="1" applyFont="1" applyBorder="1" applyAlignment="1">
      <alignment horizontal="right" vertical="center" shrinkToFit="1"/>
    </xf>
    <xf numFmtId="178" fontId="6" fillId="0" borderId="13" xfId="122" applyNumberFormat="1" applyFont="1" applyFill="1" applyBorder="1" applyAlignment="1">
      <alignment vertical="center" shrinkToFit="1"/>
    </xf>
    <xf numFmtId="178" fontId="54" fillId="0" borderId="31" xfId="122" applyNumberFormat="1" applyFont="1" applyFill="1" applyBorder="1" applyAlignment="1">
      <alignment vertical="center" shrinkToFit="1"/>
    </xf>
    <xf numFmtId="173" fontId="11" fillId="0" borderId="0" xfId="0" applyNumberFormat="1" applyFont="1"/>
    <xf numFmtId="173" fontId="18" fillId="0" borderId="0" xfId="0" applyNumberFormat="1" applyFont="1"/>
    <xf numFmtId="0" fontId="11" fillId="0" borderId="13" xfId="0" applyFont="1" applyBorder="1" applyAlignment="1">
      <alignment horizontal="center" vertical="center" wrapText="1"/>
    </xf>
    <xf numFmtId="0" fontId="11" fillId="0" borderId="13" xfId="0" applyFont="1" applyBorder="1" applyAlignment="1">
      <alignment horizontal="justify" vertical="center" wrapText="1"/>
    </xf>
    <xf numFmtId="0" fontId="6" fillId="0" borderId="13" xfId="0" applyFont="1" applyBorder="1" applyAlignment="1">
      <alignment horizontal="justify" vertical="center" wrapText="1"/>
    </xf>
    <xf numFmtId="178" fontId="6" fillId="0" borderId="27" xfId="122" applyNumberFormat="1" applyFont="1" applyFill="1" applyBorder="1" applyAlignment="1">
      <alignment vertical="center" shrinkToFit="1"/>
    </xf>
    <xf numFmtId="0" fontId="6" fillId="0" borderId="13" xfId="0" applyFont="1" applyBorder="1" applyAlignment="1">
      <alignment horizontal="left" vertical="center" wrapText="1"/>
    </xf>
    <xf numFmtId="172" fontId="6" fillId="0" borderId="13" xfId="122" applyNumberFormat="1" applyFont="1" applyFill="1" applyBorder="1" applyAlignment="1">
      <alignment vertical="center" wrapText="1"/>
    </xf>
    <xf numFmtId="172" fontId="6" fillId="0" borderId="27" xfId="122" applyNumberFormat="1" applyFont="1" applyFill="1" applyBorder="1" applyAlignment="1">
      <alignment vertical="center" wrapText="1"/>
    </xf>
    <xf numFmtId="0" fontId="11" fillId="0" borderId="13" xfId="0" quotePrefix="1" applyFont="1" applyBorder="1" applyAlignment="1">
      <alignment horizontal="center" vertical="center" wrapText="1"/>
    </xf>
    <xf numFmtId="172" fontId="11" fillId="0" borderId="13" xfId="122" applyNumberFormat="1" applyFont="1" applyFill="1" applyBorder="1" applyAlignment="1">
      <alignment vertical="center" wrapText="1"/>
    </xf>
    <xf numFmtId="172" fontId="7" fillId="0" borderId="13" xfId="122" applyNumberFormat="1" applyFont="1" applyFill="1" applyBorder="1" applyAlignment="1">
      <alignment vertical="center" wrapText="1"/>
    </xf>
    <xf numFmtId="0" fontId="11" fillId="0" borderId="13" xfId="0" applyFont="1" applyBorder="1"/>
    <xf numFmtId="0" fontId="11" fillId="0" borderId="13" xfId="0" applyFont="1" applyBorder="1" applyAlignment="1">
      <alignment vertical="center"/>
    </xf>
    <xf numFmtId="178" fontId="11" fillId="0" borderId="13" xfId="122" applyNumberFormat="1" applyFont="1" applyFill="1" applyBorder="1" applyAlignment="1">
      <alignment vertical="center" shrinkToFit="1"/>
    </xf>
    <xf numFmtId="172" fontId="11" fillId="0" borderId="33" xfId="122" applyNumberFormat="1" applyFont="1" applyFill="1" applyBorder="1" applyAlignment="1">
      <alignment horizontal="center" vertical="center" shrinkToFit="1"/>
    </xf>
    <xf numFmtId="178" fontId="55" fillId="0" borderId="31" xfId="122" applyNumberFormat="1" applyFont="1" applyFill="1" applyBorder="1" applyAlignment="1">
      <alignment vertical="center" shrinkToFit="1"/>
    </xf>
    <xf numFmtId="172" fontId="11" fillId="0" borderId="0" xfId="122" applyNumberFormat="1" applyFont="1" applyFill="1" applyBorder="1" applyAlignment="1">
      <alignment horizontal="center" vertical="center" shrinkToFit="1"/>
    </xf>
    <xf numFmtId="0" fontId="7" fillId="0" borderId="13" xfId="0" quotePrefix="1" applyFont="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xf numFmtId="178" fontId="7" fillId="0" borderId="13" xfId="0" applyNumberFormat="1" applyFont="1" applyBorder="1" applyAlignment="1">
      <alignment vertical="center"/>
    </xf>
    <xf numFmtId="178" fontId="6" fillId="0" borderId="13" xfId="122" applyNumberFormat="1" applyFont="1" applyFill="1" applyBorder="1" applyAlignment="1">
      <alignment vertical="center" wrapText="1" shrinkToFit="1"/>
    </xf>
    <xf numFmtId="178" fontId="7" fillId="0" borderId="13" xfId="122" applyNumberFormat="1" applyFont="1" applyFill="1" applyBorder="1" applyAlignment="1">
      <alignment vertical="center" wrapText="1" shrinkToFit="1"/>
    </xf>
    <xf numFmtId="172" fontId="6" fillId="0" borderId="33" xfId="122" applyNumberFormat="1" applyFont="1" applyFill="1" applyBorder="1" applyAlignment="1">
      <alignment horizontal="center" vertical="center" wrapText="1" shrinkToFit="1"/>
    </xf>
    <xf numFmtId="178" fontId="54" fillId="0" borderId="31" xfId="122" applyNumberFormat="1" applyFont="1" applyFill="1" applyBorder="1" applyAlignment="1">
      <alignment vertical="center" wrapText="1" shrinkToFit="1"/>
    </xf>
    <xf numFmtId="172" fontId="6" fillId="0" borderId="0" xfId="122" applyNumberFormat="1" applyFont="1" applyFill="1" applyBorder="1" applyAlignment="1">
      <alignment horizontal="center" vertical="center" wrapText="1" shrinkToFit="1"/>
    </xf>
    <xf numFmtId="178" fontId="7" fillId="0" borderId="13" xfId="122" applyNumberFormat="1" applyFont="1" applyFill="1" applyBorder="1" applyAlignment="1">
      <alignment vertical="center" shrinkToFit="1"/>
    </xf>
    <xf numFmtId="172" fontId="6" fillId="0" borderId="33" xfId="122" applyNumberFormat="1" applyFont="1" applyFill="1" applyBorder="1" applyAlignment="1">
      <alignment horizontal="center" vertical="center" shrinkToFit="1"/>
    </xf>
    <xf numFmtId="172" fontId="6" fillId="0" borderId="0" xfId="122" applyNumberFormat="1" applyFont="1" applyFill="1" applyBorder="1" applyAlignment="1">
      <alignment horizontal="center" vertical="center" shrinkToFit="1"/>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172" fontId="11" fillId="0" borderId="13" xfId="118" applyNumberFormat="1" applyFont="1" applyFill="1" applyBorder="1" applyAlignment="1">
      <alignment vertical="center" wrapText="1"/>
    </xf>
    <xf numFmtId="184" fontId="11" fillId="0" borderId="0" xfId="0" applyNumberFormat="1" applyFont="1" applyAlignment="1">
      <alignment shrinkToFit="1"/>
    </xf>
    <xf numFmtId="0" fontId="11" fillId="0" borderId="0" xfId="0" applyFont="1"/>
    <xf numFmtId="178" fontId="38" fillId="0" borderId="13" xfId="122" applyNumberFormat="1" applyFont="1" applyFill="1" applyBorder="1" applyAlignment="1">
      <alignment vertical="center" shrinkToFit="1"/>
    </xf>
    <xf numFmtId="184" fontId="7" fillId="0" borderId="0" xfId="0" applyNumberFormat="1" applyFont="1" applyAlignment="1">
      <alignment shrinkToFit="1"/>
    </xf>
    <xf numFmtId="172" fontId="11" fillId="0" borderId="27" xfId="118" applyNumberFormat="1" applyFont="1" applyFill="1" applyBorder="1" applyAlignment="1">
      <alignment vertical="center" wrapText="1"/>
    </xf>
    <xf numFmtId="172" fontId="7" fillId="0" borderId="33" xfId="122" applyNumberFormat="1" applyFont="1" applyFill="1" applyBorder="1" applyAlignment="1">
      <alignment horizontal="center" vertical="center" shrinkToFit="1"/>
    </xf>
    <xf numFmtId="178" fontId="56" fillId="0" borderId="31" xfId="122" applyNumberFormat="1" applyFont="1" applyFill="1" applyBorder="1" applyAlignment="1">
      <alignment vertical="center" shrinkToFit="1"/>
    </xf>
    <xf numFmtId="172" fontId="7" fillId="0" borderId="0" xfId="122" applyNumberFormat="1" applyFont="1" applyFill="1" applyBorder="1" applyAlignment="1">
      <alignment horizontal="center" vertical="center" shrinkToFit="1"/>
    </xf>
    <xf numFmtId="0" fontId="11" fillId="0" borderId="13" xfId="0" quotePrefix="1" applyFont="1" applyBorder="1" applyAlignment="1">
      <alignment horizontal="center" vertical="center"/>
    </xf>
    <xf numFmtId="178" fontId="54" fillId="0" borderId="0" xfId="122" applyNumberFormat="1" applyFont="1" applyFill="1" applyBorder="1" applyAlignment="1">
      <alignment vertical="center" shrinkToFit="1"/>
    </xf>
    <xf numFmtId="178" fontId="55" fillId="0" borderId="34" xfId="122" applyNumberFormat="1" applyFont="1" applyFill="1" applyBorder="1" applyAlignment="1">
      <alignment vertical="center" shrinkToFit="1"/>
    </xf>
    <xf numFmtId="178" fontId="55" fillId="0" borderId="0" xfId="122" applyNumberFormat="1" applyFont="1" applyFill="1" applyBorder="1" applyAlignment="1">
      <alignment vertical="center" shrinkToFit="1"/>
    </xf>
    <xf numFmtId="4" fontId="7" fillId="0" borderId="13" xfId="122" applyNumberFormat="1" applyFont="1" applyFill="1" applyBorder="1" applyAlignment="1">
      <alignment horizontal="right" vertical="center" shrinkToFit="1"/>
    </xf>
    <xf numFmtId="173" fontId="7" fillId="0" borderId="13" xfId="122" applyNumberFormat="1" applyFont="1" applyFill="1" applyBorder="1" applyAlignment="1">
      <alignment horizontal="right" vertical="center" shrinkToFit="1"/>
    </xf>
    <xf numFmtId="178" fontId="56" fillId="0" borderId="34" xfId="122" applyNumberFormat="1" applyFont="1" applyFill="1" applyBorder="1" applyAlignment="1">
      <alignment vertical="center" shrinkToFit="1"/>
    </xf>
    <xf numFmtId="173" fontId="11" fillId="0" borderId="13" xfId="122" applyNumberFormat="1" applyFont="1" applyFill="1" applyBorder="1" applyAlignment="1">
      <alignment horizontal="right" vertical="center" shrinkToFit="1"/>
    </xf>
    <xf numFmtId="0" fontId="57" fillId="0" borderId="13" xfId="0" applyFont="1" applyBorder="1" applyAlignment="1">
      <alignment horizontal="center" vertical="center" wrapText="1"/>
    </xf>
    <xf numFmtId="0" fontId="57" fillId="0" borderId="13" xfId="0" applyFont="1" applyBorder="1" applyAlignment="1">
      <alignment horizontal="justify" vertical="center" wrapText="1"/>
    </xf>
    <xf numFmtId="178" fontId="57" fillId="0" borderId="13" xfId="122" applyNumberFormat="1" applyFont="1" applyFill="1" applyBorder="1" applyAlignment="1">
      <alignment horizontal="right" vertical="center" shrinkToFit="1"/>
    </xf>
    <xf numFmtId="4" fontId="57" fillId="0" borderId="13" xfId="122" applyNumberFormat="1" applyFont="1" applyFill="1" applyBorder="1" applyAlignment="1">
      <alignment vertical="center" shrinkToFit="1"/>
    </xf>
    <xf numFmtId="4" fontId="57" fillId="0" borderId="27" xfId="122" applyNumberFormat="1" applyFont="1" applyFill="1" applyBorder="1" applyAlignment="1">
      <alignment vertical="center" shrinkToFit="1"/>
    </xf>
    <xf numFmtId="0" fontId="58" fillId="0" borderId="13" xfId="0" applyFont="1" applyBorder="1" applyAlignment="1">
      <alignment horizontal="center" vertical="center" wrapText="1"/>
    </xf>
    <xf numFmtId="0" fontId="58" fillId="0" borderId="13" xfId="0" applyFont="1" applyBorder="1" applyAlignment="1">
      <alignment vertical="center" wrapText="1"/>
    </xf>
    <xf numFmtId="173" fontId="58" fillId="0" borderId="13" xfId="0" applyNumberFormat="1" applyFont="1" applyBorder="1" applyAlignment="1">
      <alignment horizontal="right" vertical="center" wrapText="1"/>
    </xf>
    <xf numFmtId="178" fontId="58" fillId="0" borderId="13" xfId="122" applyNumberFormat="1" applyFont="1" applyFill="1" applyBorder="1" applyAlignment="1">
      <alignment vertical="center" shrinkToFit="1"/>
    </xf>
    <xf numFmtId="178" fontId="58" fillId="0" borderId="27" xfId="122" applyNumberFormat="1" applyFont="1" applyFill="1" applyBorder="1" applyAlignment="1">
      <alignment vertical="center" shrinkToFit="1"/>
    </xf>
    <xf numFmtId="0" fontId="38" fillId="0" borderId="13" xfId="0" quotePrefix="1" applyFont="1" applyBorder="1" applyAlignment="1">
      <alignment horizontal="center" vertical="center" wrapText="1"/>
    </xf>
    <xf numFmtId="0" fontId="38" fillId="0" borderId="13" xfId="212" applyFont="1" applyBorder="1" applyAlignment="1">
      <alignment horizontal="justify" vertical="center" wrapText="1"/>
    </xf>
    <xf numFmtId="0" fontId="38" fillId="0" borderId="13" xfId="212" applyFont="1" applyBorder="1" applyAlignment="1">
      <alignment horizontal="center" vertical="center" wrapText="1"/>
    </xf>
    <xf numFmtId="169" fontId="38" fillId="0" borderId="13" xfId="212" applyNumberFormat="1" applyFont="1" applyBorder="1" applyAlignment="1">
      <alignment horizontal="right" vertical="center" shrinkToFit="1"/>
    </xf>
    <xf numFmtId="0" fontId="11" fillId="0" borderId="13" xfId="0" applyFont="1" applyBorder="1" applyAlignment="1">
      <alignment vertical="center" wrapText="1"/>
    </xf>
    <xf numFmtId="173" fontId="11" fillId="0" borderId="13" xfId="0" applyNumberFormat="1" applyFont="1" applyBorder="1" applyAlignment="1">
      <alignment horizontal="right" vertical="center" wrapText="1"/>
    </xf>
    <xf numFmtId="178" fontId="11" fillId="0" borderId="27" xfId="122" applyNumberFormat="1" applyFont="1" applyFill="1" applyBorder="1" applyAlignment="1">
      <alignment vertical="center" shrinkToFit="1"/>
    </xf>
    <xf numFmtId="0" fontId="38" fillId="0" borderId="13" xfId="0" applyFont="1" applyBorder="1" applyAlignment="1">
      <alignment vertical="center" wrapText="1"/>
    </xf>
    <xf numFmtId="0" fontId="38" fillId="0" borderId="13" xfId="0" applyFont="1" applyBorder="1" applyAlignment="1">
      <alignment horizontal="center" vertical="center" wrapText="1"/>
    </xf>
    <xf numFmtId="173" fontId="38" fillId="0" borderId="13" xfId="0" applyNumberFormat="1" applyFont="1" applyBorder="1" applyAlignment="1">
      <alignment horizontal="right" vertical="center" wrapText="1"/>
    </xf>
    <xf numFmtId="0" fontId="7" fillId="0" borderId="13" xfId="0" applyFont="1" applyBorder="1" applyAlignment="1">
      <alignment vertical="center" wrapText="1"/>
    </xf>
    <xf numFmtId="173" fontId="7" fillId="0" borderId="13" xfId="0" applyNumberFormat="1" applyFont="1" applyBorder="1" applyAlignment="1">
      <alignment horizontal="right" vertical="center" wrapText="1"/>
    </xf>
    <xf numFmtId="178" fontId="58" fillId="0" borderId="13" xfId="122" applyNumberFormat="1" applyFont="1" applyFill="1" applyBorder="1" applyAlignment="1">
      <alignment horizontal="right" vertical="center" shrinkToFit="1"/>
    </xf>
    <xf numFmtId="178" fontId="38" fillId="0" borderId="13" xfId="122" applyNumberFormat="1" applyFont="1" applyFill="1" applyBorder="1" applyAlignment="1">
      <alignment horizontal="right" vertical="center" shrinkToFit="1"/>
    </xf>
    <xf numFmtId="172" fontId="38" fillId="0" borderId="13" xfId="212" applyNumberFormat="1" applyFont="1" applyBorder="1" applyAlignment="1">
      <alignment horizontal="right" vertical="center" shrinkToFit="1"/>
    </xf>
    <xf numFmtId="0" fontId="6" fillId="0" borderId="13" xfId="212" applyFont="1" applyBorder="1" applyAlignment="1">
      <alignment horizontal="justify" vertical="center" wrapText="1"/>
    </xf>
    <xf numFmtId="173" fontId="6" fillId="0" borderId="13" xfId="0" applyNumberFormat="1" applyFont="1" applyBorder="1" applyAlignment="1">
      <alignment horizontal="right" vertical="center" wrapText="1"/>
    </xf>
    <xf numFmtId="184" fontId="6" fillId="0" borderId="0" xfId="0" applyNumberFormat="1" applyFont="1" applyAlignment="1">
      <alignment shrinkToFit="1"/>
    </xf>
    <xf numFmtId="172" fontId="11" fillId="0" borderId="13" xfId="0" applyNumberFormat="1" applyFont="1" applyBorder="1" applyAlignment="1">
      <alignment horizontal="right" vertical="center" wrapText="1"/>
    </xf>
    <xf numFmtId="178" fontId="11" fillId="0" borderId="34" xfId="122" applyNumberFormat="1" applyFont="1" applyFill="1" applyBorder="1" applyAlignment="1">
      <alignment vertical="center" shrinkToFit="1"/>
    </xf>
    <xf numFmtId="178" fontId="11" fillId="0" borderId="31" xfId="122" applyNumberFormat="1" applyFont="1" applyFill="1" applyBorder="1" applyAlignment="1">
      <alignment vertical="center" shrinkToFit="1"/>
    </xf>
    <xf numFmtId="169" fontId="7" fillId="0" borderId="13" xfId="0" applyNumberFormat="1" applyFont="1" applyBorder="1" applyAlignment="1">
      <alignment horizontal="right" vertical="center" wrapText="1"/>
    </xf>
    <xf numFmtId="0" fontId="0" fillId="0" borderId="0" xfId="0" applyAlignment="1">
      <alignment horizontal="center"/>
    </xf>
    <xf numFmtId="0" fontId="2" fillId="36" borderId="0" xfId="0" applyFont="1" applyFill="1"/>
    <xf numFmtId="173" fontId="6" fillId="0" borderId="13" xfId="128" applyNumberFormat="1" applyFont="1" applyFill="1" applyBorder="1" applyAlignment="1">
      <alignment horizontal="center" vertical="center" wrapText="1"/>
    </xf>
    <xf numFmtId="173" fontId="6" fillId="0" borderId="13" xfId="0" applyNumberFormat="1" applyFont="1" applyBorder="1" applyAlignment="1">
      <alignment horizontal="center" vertical="center" wrapText="1"/>
    </xf>
    <xf numFmtId="173" fontId="4" fillId="0" borderId="0" xfId="0" applyNumberFormat="1" applyFont="1" applyAlignment="1">
      <alignment horizontal="center"/>
    </xf>
    <xf numFmtId="173" fontId="7" fillId="0" borderId="13" xfId="128" applyNumberFormat="1" applyFont="1" applyFill="1" applyBorder="1" applyAlignment="1">
      <alignment horizontal="center" vertical="center" wrapText="1"/>
    </xf>
    <xf numFmtId="4" fontId="6" fillId="0" borderId="13" xfId="0" applyNumberFormat="1" applyFont="1" applyBorder="1" applyAlignment="1">
      <alignment horizontal="center" vertical="center" wrapText="1"/>
    </xf>
    <xf numFmtId="169" fontId="6" fillId="0" borderId="13" xfId="0" applyNumberFormat="1" applyFont="1" applyBorder="1" applyAlignment="1">
      <alignment horizontal="center" vertical="center" wrapText="1"/>
    </xf>
    <xf numFmtId="173" fontId="4" fillId="0" borderId="0" xfId="0" applyNumberFormat="1" applyFont="1"/>
    <xf numFmtId="0" fontId="4" fillId="0" borderId="0" xfId="0" applyFont="1"/>
    <xf numFmtId="4" fontId="7" fillId="0" borderId="13" xfId="0" applyNumberFormat="1" applyFont="1" applyBorder="1" applyAlignment="1">
      <alignment horizontal="center" vertical="center" wrapText="1"/>
    </xf>
    <xf numFmtId="169" fontId="7" fillId="0" borderId="13" xfId="0" applyNumberFormat="1" applyFont="1" applyBorder="1" applyAlignment="1">
      <alignment horizontal="center" vertical="center" wrapText="1"/>
    </xf>
    <xf numFmtId="173" fontId="7" fillId="0" borderId="13" xfId="118" applyNumberFormat="1" applyFont="1" applyFill="1" applyBorder="1" applyAlignment="1">
      <alignment horizontal="center" vertical="center" wrapText="1"/>
    </xf>
    <xf numFmtId="175" fontId="7" fillId="0" borderId="13" xfId="112" applyNumberFormat="1" applyFont="1" applyFill="1" applyBorder="1" applyAlignment="1">
      <alignment horizontal="center" vertical="center" wrapText="1"/>
    </xf>
    <xf numFmtId="169" fontId="6" fillId="0" borderId="13" xfId="118" applyFont="1" applyFill="1" applyBorder="1" applyAlignment="1">
      <alignment horizontal="center" vertical="center" wrapText="1"/>
    </xf>
    <xf numFmtId="169" fontId="2" fillId="0" borderId="0" xfId="0" applyNumberFormat="1" applyFont="1"/>
    <xf numFmtId="169" fontId="4" fillId="0" borderId="0" xfId="0" applyNumberFormat="1" applyFont="1"/>
    <xf numFmtId="169" fontId="7" fillId="0" borderId="13" xfId="0" applyNumberFormat="1" applyFont="1" applyBorder="1" applyAlignment="1">
      <alignment vertical="center" wrapText="1"/>
    </xf>
    <xf numFmtId="0" fontId="2" fillId="0" borderId="13" xfId="0" applyFont="1" applyBorder="1" applyAlignment="1">
      <alignment horizontal="center" wrapText="1"/>
    </xf>
    <xf numFmtId="0" fontId="7" fillId="0" borderId="13" xfId="0" quotePrefix="1" applyFont="1" applyBorder="1" applyAlignment="1">
      <alignment horizontal="justify" vertical="center" wrapText="1"/>
    </xf>
    <xf numFmtId="173" fontId="21" fillId="0" borderId="0" xfId="0" applyNumberFormat="1" applyFont="1"/>
    <xf numFmtId="0" fontId="21" fillId="0" borderId="0" xfId="0" applyFont="1"/>
    <xf numFmtId="0" fontId="172" fillId="0" borderId="13" xfId="0" applyFont="1" applyBorder="1" applyAlignment="1">
      <alignment horizontal="center" vertical="center" wrapText="1"/>
    </xf>
    <xf numFmtId="0" fontId="172" fillId="0" borderId="13" xfId="0" applyFont="1" applyBorder="1" applyAlignment="1">
      <alignment horizontal="justify" vertical="center" wrapText="1"/>
    </xf>
    <xf numFmtId="173" fontId="172" fillId="0" borderId="13" xfId="128" applyNumberFormat="1" applyFont="1" applyFill="1" applyBorder="1" applyAlignment="1">
      <alignment horizontal="center" vertical="center" wrapText="1"/>
    </xf>
    <xf numFmtId="0" fontId="173" fillId="0" borderId="0" xfId="0" applyFont="1"/>
    <xf numFmtId="0" fontId="7" fillId="0" borderId="13" xfId="0" applyFont="1" applyBorder="1" applyAlignment="1">
      <alignment horizontal="center"/>
    </xf>
    <xf numFmtId="0" fontId="6" fillId="36" borderId="13" xfId="0" applyFont="1" applyFill="1" applyBorder="1" applyAlignment="1">
      <alignment horizontal="center" vertical="center" wrapText="1"/>
    </xf>
    <xf numFmtId="0" fontId="6" fillId="36" borderId="13" xfId="0" applyFont="1" applyFill="1" applyBorder="1" applyAlignment="1">
      <alignment horizontal="left" vertical="center" wrapText="1"/>
    </xf>
    <xf numFmtId="173" fontId="6" fillId="36" borderId="13" xfId="128" applyNumberFormat="1" applyFont="1" applyFill="1" applyBorder="1" applyAlignment="1">
      <alignment horizontal="center" vertical="center" wrapText="1"/>
    </xf>
    <xf numFmtId="173" fontId="6" fillId="36" borderId="13" xfId="0" applyNumberFormat="1" applyFont="1" applyFill="1" applyBorder="1" applyAlignment="1">
      <alignment horizontal="center" vertical="center" wrapText="1"/>
    </xf>
    <xf numFmtId="173" fontId="4" fillId="36" borderId="0" xfId="0" applyNumberFormat="1" applyFont="1" applyFill="1" applyAlignment="1">
      <alignment horizontal="center"/>
    </xf>
    <xf numFmtId="0" fontId="4" fillId="36" borderId="0" xfId="0" applyFont="1" applyFill="1" applyAlignment="1">
      <alignment horizontal="center"/>
    </xf>
    <xf numFmtId="0" fontId="42" fillId="0" borderId="0" xfId="0" applyFont="1"/>
    <xf numFmtId="0" fontId="53" fillId="36" borderId="35" xfId="0" applyFont="1" applyFill="1" applyBorder="1" applyAlignment="1">
      <alignment horizontal="center" vertical="center" wrapText="1"/>
    </xf>
    <xf numFmtId="184" fontId="52" fillId="36" borderId="0" xfId="0" applyNumberFormat="1" applyFont="1" applyFill="1" applyAlignment="1">
      <alignment shrinkToFit="1"/>
    </xf>
    <xf numFmtId="0" fontId="52" fillId="36" borderId="0" xfId="0" applyFont="1" applyFill="1"/>
    <xf numFmtId="4" fontId="172" fillId="0" borderId="13" xfId="0" applyNumberFormat="1" applyFont="1" applyBorder="1" applyAlignment="1">
      <alignment horizontal="center" vertical="center" wrapText="1"/>
    </xf>
    <xf numFmtId="0" fontId="174" fillId="0" borderId="0" xfId="0" applyFont="1"/>
    <xf numFmtId="169" fontId="172" fillId="0" borderId="13" xfId="0" applyNumberFormat="1" applyFont="1" applyBorder="1" applyAlignment="1">
      <alignment horizontal="center" vertical="center" wrapText="1"/>
    </xf>
    <xf numFmtId="169" fontId="174" fillId="0" borderId="0" xfId="0" applyNumberFormat="1" applyFont="1"/>
    <xf numFmtId="0" fontId="172" fillId="0" borderId="13" xfId="0" applyFont="1" applyBorder="1" applyAlignment="1">
      <alignment horizontal="center"/>
    </xf>
    <xf numFmtId="0" fontId="172" fillId="0" borderId="13" xfId="0" quotePrefix="1" applyFont="1" applyBorder="1" applyAlignment="1">
      <alignment horizontal="center" vertical="center" wrapText="1"/>
    </xf>
    <xf numFmtId="0" fontId="172" fillId="0" borderId="13" xfId="0" applyFont="1" applyBorder="1" applyAlignment="1">
      <alignment horizontal="left" vertical="center" wrapText="1"/>
    </xf>
    <xf numFmtId="172" fontId="172" fillId="0" borderId="13" xfId="122" applyNumberFormat="1" applyFont="1" applyFill="1" applyBorder="1" applyAlignment="1">
      <alignment vertical="center" wrapText="1"/>
    </xf>
    <xf numFmtId="172" fontId="175" fillId="0" borderId="13" xfId="122" applyNumberFormat="1" applyFont="1" applyFill="1" applyBorder="1" applyAlignment="1">
      <alignment vertical="center" wrapText="1"/>
    </xf>
    <xf numFmtId="0" fontId="172" fillId="0" borderId="13" xfId="0" applyFont="1" applyBorder="1"/>
    <xf numFmtId="178" fontId="172" fillId="0" borderId="13" xfId="0" applyNumberFormat="1" applyFont="1" applyBorder="1" applyAlignment="1">
      <alignment vertical="center"/>
    </xf>
    <xf numFmtId="178" fontId="176" fillId="0" borderId="13" xfId="122" applyNumberFormat="1" applyFont="1" applyFill="1" applyBorder="1" applyAlignment="1">
      <alignment vertical="center" shrinkToFit="1"/>
    </xf>
    <xf numFmtId="178" fontId="172" fillId="0" borderId="13" xfId="122" applyNumberFormat="1" applyFont="1" applyFill="1" applyBorder="1" applyAlignment="1">
      <alignment vertical="center" shrinkToFit="1"/>
    </xf>
    <xf numFmtId="172" fontId="176" fillId="0" borderId="33" xfId="122" applyNumberFormat="1" applyFont="1" applyFill="1" applyBorder="1" applyAlignment="1">
      <alignment horizontal="center" vertical="center" shrinkToFit="1"/>
    </xf>
    <xf numFmtId="178" fontId="177" fillId="0" borderId="31" xfId="122" applyNumberFormat="1" applyFont="1" applyFill="1" applyBorder="1" applyAlignment="1">
      <alignment vertical="center" shrinkToFit="1"/>
    </xf>
    <xf numFmtId="172" fontId="176" fillId="0" borderId="0" xfId="122" applyNumberFormat="1" applyFont="1" applyFill="1" applyBorder="1" applyAlignment="1">
      <alignment horizontal="center" vertical="center" shrinkToFit="1"/>
    </xf>
    <xf numFmtId="173" fontId="175" fillId="0" borderId="0" xfId="0" applyNumberFormat="1" applyFont="1"/>
    <xf numFmtId="173" fontId="178" fillId="0" borderId="0" xfId="0" applyNumberFormat="1" applyFont="1"/>
    <xf numFmtId="0" fontId="179" fillId="0" borderId="0" xfId="0" applyFont="1"/>
    <xf numFmtId="0" fontId="172" fillId="0" borderId="13" xfId="0" quotePrefix="1" applyFont="1" applyBorder="1" applyAlignment="1">
      <alignment horizontal="center" vertical="center"/>
    </xf>
    <xf numFmtId="178" fontId="180" fillId="0" borderId="13" xfId="122" applyNumberFormat="1" applyFont="1" applyFill="1" applyBorder="1" applyAlignment="1">
      <alignment vertical="center" shrinkToFit="1"/>
    </xf>
    <xf numFmtId="173" fontId="172" fillId="0" borderId="13" xfId="118" applyNumberFormat="1" applyFont="1" applyFill="1" applyBorder="1" applyAlignment="1">
      <alignment vertical="center"/>
    </xf>
    <xf numFmtId="184" fontId="172" fillId="0" borderId="0" xfId="0" applyNumberFormat="1" applyFont="1" applyAlignment="1">
      <alignment shrinkToFit="1"/>
    </xf>
    <xf numFmtId="0" fontId="172" fillId="0" borderId="0" xfId="0" applyFont="1"/>
    <xf numFmtId="172" fontId="180" fillId="0" borderId="13" xfId="122" applyNumberFormat="1" applyFont="1" applyFill="1" applyBorder="1" applyAlignment="1">
      <alignment vertical="center" wrapText="1"/>
    </xf>
    <xf numFmtId="0" fontId="172" fillId="0" borderId="13" xfId="0" applyFont="1" applyBorder="1" applyAlignment="1">
      <alignment horizontal="center" vertical="center"/>
    </xf>
    <xf numFmtId="172" fontId="172" fillId="0" borderId="13" xfId="118" applyNumberFormat="1" applyFont="1" applyFill="1" applyBorder="1" applyAlignment="1">
      <alignment vertical="center" wrapText="1"/>
    </xf>
    <xf numFmtId="0" fontId="181" fillId="0" borderId="13" xfId="0" applyFont="1" applyBorder="1" applyAlignment="1">
      <alignment horizontal="center" vertical="center" wrapText="1"/>
    </xf>
    <xf numFmtId="177" fontId="6" fillId="0" borderId="13" xfId="103" applyNumberFormat="1" applyFont="1" applyFill="1" applyBorder="1" applyAlignment="1">
      <alignment horizontal="center" vertical="center" wrapText="1"/>
    </xf>
    <xf numFmtId="177" fontId="176" fillId="0" borderId="13" xfId="103" applyNumberFormat="1" applyFont="1" applyFill="1" applyBorder="1" applyAlignment="1">
      <alignment horizontal="center" vertical="center" wrapText="1"/>
    </xf>
    <xf numFmtId="176" fontId="6" fillId="0" borderId="13" xfId="103" applyNumberFormat="1" applyFont="1" applyFill="1" applyBorder="1" applyAlignment="1">
      <alignment horizontal="center" vertical="center" wrapText="1"/>
    </xf>
    <xf numFmtId="176" fontId="176" fillId="0" borderId="13" xfId="103" applyNumberFormat="1" applyFont="1" applyFill="1" applyBorder="1" applyAlignment="1">
      <alignment horizontal="center" vertical="center" wrapText="1"/>
    </xf>
    <xf numFmtId="176" fontId="18" fillId="0" borderId="13" xfId="103" applyNumberFormat="1" applyFont="1" applyFill="1" applyBorder="1" applyAlignment="1">
      <alignment horizontal="center" vertical="center" wrapText="1"/>
    </xf>
    <xf numFmtId="177" fontId="182" fillId="0" borderId="13" xfId="103" applyNumberFormat="1" applyFont="1" applyFill="1" applyBorder="1" applyAlignment="1">
      <alignment vertical="center" wrapText="1"/>
    </xf>
    <xf numFmtId="177" fontId="18" fillId="0" borderId="13" xfId="103" applyNumberFormat="1" applyFont="1" applyFill="1" applyBorder="1" applyAlignment="1">
      <alignment horizontal="center" vertical="center" wrapText="1"/>
    </xf>
    <xf numFmtId="0" fontId="18" fillId="0" borderId="13" xfId="0" quotePrefix="1" applyFont="1" applyBorder="1" applyAlignment="1">
      <alignment horizontal="center" vertical="center" wrapText="1"/>
    </xf>
    <xf numFmtId="0" fontId="182" fillId="0" borderId="13" xfId="0" applyFont="1" applyBorder="1" applyAlignment="1">
      <alignment vertical="center" wrapText="1"/>
    </xf>
    <xf numFmtId="0" fontId="18" fillId="0" borderId="13" xfId="0" applyFont="1" applyBorder="1" applyAlignment="1">
      <alignment horizontal="center" vertical="center" wrapText="1"/>
    </xf>
    <xf numFmtId="43" fontId="11" fillId="0" borderId="13" xfId="103" applyNumberFormat="1" applyFont="1" applyFill="1" applyBorder="1" applyAlignment="1">
      <alignment horizontal="center" vertical="center" wrapText="1"/>
    </xf>
    <xf numFmtId="177" fontId="7" fillId="0" borderId="13" xfId="103" applyNumberFormat="1" applyFont="1" applyFill="1" applyBorder="1" applyAlignment="1">
      <alignment horizontal="center" vertical="center" wrapText="1"/>
    </xf>
    <xf numFmtId="177" fontId="11" fillId="0" borderId="13" xfId="103" applyNumberFormat="1" applyFont="1" applyFill="1" applyBorder="1" applyAlignment="1">
      <alignment horizontal="center" vertical="center" wrapText="1"/>
    </xf>
    <xf numFmtId="176" fontId="11" fillId="0" borderId="13" xfId="103" applyNumberFormat="1" applyFont="1" applyFill="1" applyBorder="1" applyAlignment="1">
      <alignment horizontal="center" vertical="center" wrapText="1"/>
    </xf>
    <xf numFmtId="0" fontId="183" fillId="0" borderId="13" xfId="0" applyFont="1" applyBorder="1" applyAlignment="1">
      <alignment vertical="center" wrapText="1"/>
    </xf>
    <xf numFmtId="177" fontId="7" fillId="0" borderId="13" xfId="103" applyNumberFormat="1" applyFont="1" applyFill="1" applyBorder="1" applyAlignment="1">
      <alignment vertical="center" wrapText="1"/>
    </xf>
    <xf numFmtId="176" fontId="7" fillId="0" borderId="13" xfId="103" applyNumberFormat="1" applyFont="1" applyFill="1" applyBorder="1" applyAlignment="1">
      <alignment vertical="center" wrapText="1"/>
    </xf>
    <xf numFmtId="43" fontId="7" fillId="0" borderId="13" xfId="103" applyNumberFormat="1" applyFont="1" applyFill="1" applyBorder="1" applyAlignment="1">
      <alignment horizontal="center" vertical="center" wrapText="1"/>
    </xf>
    <xf numFmtId="0" fontId="6" fillId="0" borderId="13" xfId="0" quotePrefix="1" applyFont="1" applyBorder="1" applyAlignment="1">
      <alignment horizontal="center" vertical="center" wrapText="1"/>
    </xf>
    <xf numFmtId="0" fontId="18" fillId="0" borderId="13" xfId="231" applyFont="1" applyBorder="1" applyAlignment="1">
      <alignment horizontal="center" vertical="center" wrapText="1"/>
    </xf>
    <xf numFmtId="0" fontId="182" fillId="0" borderId="13" xfId="231" applyFont="1" applyBorder="1" applyAlignment="1">
      <alignment horizontal="left" vertical="center" wrapText="1"/>
    </xf>
    <xf numFmtId="3" fontId="182" fillId="0" borderId="13" xfId="0" applyNumberFormat="1" applyFont="1" applyBorder="1" applyAlignment="1">
      <alignment horizontal="center"/>
    </xf>
    <xf numFmtId="177" fontId="182" fillId="0" borderId="13" xfId="103" applyNumberFormat="1" applyFont="1" applyFill="1" applyBorder="1" applyAlignment="1">
      <alignment horizontal="center"/>
    </xf>
    <xf numFmtId="176" fontId="182" fillId="0" borderId="13" xfId="103" applyNumberFormat="1" applyFont="1" applyFill="1" applyBorder="1" applyAlignment="1">
      <alignment horizontal="center"/>
    </xf>
    <xf numFmtId="177" fontId="7" fillId="0" borderId="13" xfId="103" applyNumberFormat="1" applyFont="1" applyFill="1" applyBorder="1"/>
    <xf numFmtId="177" fontId="7" fillId="0" borderId="13" xfId="103" applyNumberFormat="1" applyFont="1" applyFill="1" applyBorder="1" applyAlignment="1">
      <alignment vertical="center"/>
    </xf>
    <xf numFmtId="177" fontId="6" fillId="0" borderId="13" xfId="103" applyNumberFormat="1" applyFont="1" applyFill="1" applyBorder="1"/>
    <xf numFmtId="177" fontId="178" fillId="0" borderId="13" xfId="103" applyNumberFormat="1" applyFont="1" applyFill="1" applyBorder="1" applyAlignment="1">
      <alignment horizontal="center" vertical="center" wrapText="1"/>
    </xf>
    <xf numFmtId="177" fontId="172" fillId="0" borderId="13" xfId="103" applyNumberFormat="1" applyFont="1" applyFill="1" applyBorder="1" applyAlignment="1">
      <alignment vertical="center" wrapText="1"/>
    </xf>
    <xf numFmtId="0" fontId="178" fillId="0" borderId="13" xfId="0" quotePrefix="1" applyFont="1" applyBorder="1" applyAlignment="1">
      <alignment horizontal="center" vertical="center" wrapText="1"/>
    </xf>
    <xf numFmtId="0" fontId="178" fillId="0" borderId="13" xfId="0" applyFont="1" applyBorder="1" applyAlignment="1">
      <alignment vertical="center" wrapText="1"/>
    </xf>
    <xf numFmtId="43" fontId="175" fillId="0" borderId="13" xfId="103" applyNumberFormat="1" applyFont="1" applyFill="1" applyBorder="1" applyAlignment="1">
      <alignment horizontal="center" vertical="center" wrapText="1"/>
    </xf>
    <xf numFmtId="177" fontId="172" fillId="0" borderId="13" xfId="103" applyNumberFormat="1" applyFont="1" applyFill="1" applyBorder="1" applyAlignment="1">
      <alignment horizontal="center" vertical="center" wrapText="1"/>
    </xf>
    <xf numFmtId="177" fontId="175" fillId="0" borderId="13" xfId="103" applyNumberFormat="1" applyFont="1" applyFill="1" applyBorder="1" applyAlignment="1">
      <alignment horizontal="center" vertical="center" wrapText="1"/>
    </xf>
    <xf numFmtId="0" fontId="184" fillId="0" borderId="0" xfId="0" applyFont="1"/>
    <xf numFmtId="0" fontId="185" fillId="0" borderId="0" xfId="0" applyFont="1"/>
    <xf numFmtId="184" fontId="184" fillId="0" borderId="0" xfId="0" applyNumberFormat="1" applyFont="1" applyAlignment="1">
      <alignment shrinkToFit="1"/>
    </xf>
    <xf numFmtId="177" fontId="184" fillId="0" borderId="0" xfId="0" applyNumberFormat="1" applyFont="1"/>
    <xf numFmtId="0" fontId="172" fillId="0" borderId="13" xfId="0" quotePrefix="1" applyFont="1" applyBorder="1" applyAlignment="1">
      <alignment vertical="center" wrapText="1"/>
    </xf>
    <xf numFmtId="176" fontId="172" fillId="0" borderId="13" xfId="103" applyNumberFormat="1" applyFont="1" applyFill="1" applyBorder="1" applyAlignment="1">
      <alignment vertical="center" wrapText="1"/>
    </xf>
    <xf numFmtId="0" fontId="178" fillId="0" borderId="13" xfId="0" applyFont="1" applyBorder="1" applyAlignment="1">
      <alignment horizontal="center" vertical="center" wrapText="1"/>
    </xf>
    <xf numFmtId="3" fontId="178" fillId="0" borderId="13" xfId="0" applyNumberFormat="1" applyFont="1" applyBorder="1" applyAlignment="1">
      <alignment horizontal="center" vertical="center" wrapText="1"/>
    </xf>
    <xf numFmtId="176" fontId="178" fillId="0" borderId="13" xfId="103" applyNumberFormat="1" applyFont="1" applyFill="1" applyBorder="1" applyAlignment="1">
      <alignment horizontal="center" vertical="center" wrapText="1"/>
    </xf>
    <xf numFmtId="0" fontId="172" fillId="0" borderId="13" xfId="0" applyFont="1" applyBorder="1" applyAlignment="1">
      <alignment vertical="center" wrapText="1"/>
    </xf>
    <xf numFmtId="173" fontId="172" fillId="0" borderId="13" xfId="113" applyNumberFormat="1" applyFont="1" applyFill="1" applyBorder="1" applyAlignment="1">
      <alignment horizontal="center" vertical="center" wrapText="1"/>
    </xf>
    <xf numFmtId="0" fontId="178" fillId="0" borderId="13" xfId="0" applyFont="1" applyBorder="1" applyAlignment="1">
      <alignment horizontal="left" vertical="center" wrapText="1"/>
    </xf>
    <xf numFmtId="173" fontId="172" fillId="0" borderId="13" xfId="113" applyNumberFormat="1" applyFont="1" applyFill="1" applyBorder="1" applyAlignment="1">
      <alignment horizontal="left" vertical="center" wrapText="1"/>
    </xf>
    <xf numFmtId="176" fontId="6" fillId="35" borderId="13" xfId="103" applyNumberFormat="1" applyFont="1" applyFill="1" applyBorder="1" applyAlignment="1">
      <alignment horizontal="center" vertical="center" wrapText="1"/>
    </xf>
    <xf numFmtId="177" fontId="6" fillId="35" borderId="13" xfId="103" applyNumberFormat="1" applyFont="1" applyFill="1" applyBorder="1" applyAlignment="1">
      <alignment vertical="center" wrapText="1"/>
    </xf>
    <xf numFmtId="177" fontId="7" fillId="35" borderId="13" xfId="103" applyNumberFormat="1" applyFont="1" applyFill="1" applyBorder="1" applyAlignment="1">
      <alignment horizontal="center" vertical="center" wrapText="1"/>
    </xf>
    <xf numFmtId="177" fontId="6" fillId="35" borderId="13" xfId="103" applyNumberFormat="1" applyFont="1" applyFill="1" applyBorder="1" applyAlignment="1">
      <alignment horizontal="center" vertical="center" wrapText="1"/>
    </xf>
    <xf numFmtId="177" fontId="7" fillId="35" borderId="13" xfId="103" applyNumberFormat="1" applyFont="1" applyFill="1" applyBorder="1" applyAlignment="1">
      <alignment horizontal="left" vertical="center" wrapText="1"/>
    </xf>
    <xf numFmtId="176" fontId="6" fillId="35" borderId="13" xfId="103" quotePrefix="1" applyNumberFormat="1" applyFont="1" applyFill="1" applyBorder="1" applyAlignment="1">
      <alignment horizontal="center" vertical="center" wrapText="1"/>
    </xf>
    <xf numFmtId="177" fontId="7" fillId="35" borderId="13" xfId="103" applyNumberFormat="1" applyFont="1" applyFill="1" applyBorder="1" applyAlignment="1">
      <alignment horizontal="right" vertical="center" wrapText="1"/>
    </xf>
    <xf numFmtId="177" fontId="7" fillId="35" borderId="13" xfId="103" applyNumberFormat="1" applyFont="1" applyFill="1" applyBorder="1" applyAlignment="1">
      <alignment vertical="center" wrapText="1"/>
    </xf>
    <xf numFmtId="176" fontId="7" fillId="35" borderId="13" xfId="103" applyNumberFormat="1" applyFont="1" applyFill="1" applyBorder="1" applyAlignment="1">
      <alignment horizontal="center"/>
    </xf>
    <xf numFmtId="177" fontId="7" fillId="35" borderId="13" xfId="103" applyNumberFormat="1" applyFont="1" applyFill="1" applyBorder="1" applyAlignment="1">
      <alignment horizontal="center"/>
    </xf>
    <xf numFmtId="177" fontId="7" fillId="35" borderId="13" xfId="103" applyNumberFormat="1" applyFont="1" applyFill="1" applyBorder="1" applyAlignment="1">
      <alignment horizontal="right"/>
    </xf>
    <xf numFmtId="176" fontId="6" fillId="35" borderId="13" xfId="103" applyNumberFormat="1" applyFont="1" applyFill="1" applyBorder="1" applyAlignment="1">
      <alignment horizontal="center"/>
    </xf>
    <xf numFmtId="177" fontId="6" fillId="35" borderId="13" xfId="103" applyNumberFormat="1" applyFont="1" applyFill="1" applyBorder="1" applyAlignment="1">
      <alignment wrapText="1"/>
    </xf>
    <xf numFmtId="177" fontId="6" fillId="35" borderId="13" xfId="103" applyNumberFormat="1" applyFont="1" applyFill="1" applyBorder="1" applyAlignment="1">
      <alignment horizontal="center"/>
    </xf>
    <xf numFmtId="177" fontId="6" fillId="35" borderId="13" xfId="103" applyNumberFormat="1" applyFont="1" applyFill="1" applyBorder="1"/>
    <xf numFmtId="177" fontId="7" fillId="35" borderId="13" xfId="103" applyNumberFormat="1" applyFont="1" applyFill="1" applyBorder="1"/>
    <xf numFmtId="176" fontId="18" fillId="35" borderId="13" xfId="103" applyNumberFormat="1" applyFont="1" applyFill="1" applyBorder="1" applyAlignment="1">
      <alignment horizontal="center"/>
    </xf>
    <xf numFmtId="177" fontId="18" fillId="35" borderId="13" xfId="103" applyNumberFormat="1" applyFont="1" applyFill="1" applyBorder="1" applyAlignment="1">
      <alignment horizontal="left" vertical="center" wrapText="1"/>
    </xf>
    <xf numFmtId="177" fontId="18" fillId="35" borderId="13" xfId="103" applyNumberFormat="1" applyFont="1" applyFill="1" applyBorder="1" applyAlignment="1">
      <alignment horizontal="center"/>
    </xf>
    <xf numFmtId="176" fontId="7" fillId="35" borderId="13" xfId="103" quotePrefix="1" applyNumberFormat="1" applyFont="1" applyFill="1" applyBorder="1" applyAlignment="1">
      <alignment horizontal="center"/>
    </xf>
    <xf numFmtId="177" fontId="7" fillId="35" borderId="13" xfId="103" applyNumberFormat="1" applyFont="1" applyFill="1" applyBorder="1" applyAlignment="1">
      <alignment wrapText="1"/>
    </xf>
    <xf numFmtId="0" fontId="1" fillId="0" borderId="0" xfId="0" applyFont="1"/>
    <xf numFmtId="0" fontId="4" fillId="0" borderId="0" xfId="0" applyFont="1" applyAlignment="1">
      <alignment horizontal="center" vertical="center"/>
    </xf>
    <xf numFmtId="184" fontId="4" fillId="0" borderId="0" xfId="0" applyNumberFormat="1" applyFont="1" applyAlignment="1">
      <alignment horizontal="center"/>
    </xf>
    <xf numFmtId="184" fontId="4" fillId="0" borderId="0" xfId="0" applyNumberFormat="1" applyFont="1" applyAlignment="1">
      <alignment shrinkToFit="1"/>
    </xf>
    <xf numFmtId="0" fontId="12" fillId="0" borderId="0" xfId="0" applyFont="1"/>
    <xf numFmtId="176" fontId="176" fillId="35" borderId="13" xfId="103" quotePrefix="1" applyNumberFormat="1" applyFont="1" applyFill="1" applyBorder="1" applyAlignment="1">
      <alignment horizontal="center" vertical="center" wrapText="1"/>
    </xf>
    <xf numFmtId="177" fontId="172" fillId="35" borderId="13" xfId="103" applyNumberFormat="1" applyFont="1" applyFill="1" applyBorder="1" applyAlignment="1">
      <alignment horizontal="center" vertical="center" wrapText="1"/>
    </xf>
    <xf numFmtId="177" fontId="172" fillId="35" borderId="13" xfId="103" applyNumberFormat="1" applyFont="1" applyFill="1" applyBorder="1" applyAlignment="1">
      <alignment horizontal="right" vertical="center" wrapText="1"/>
    </xf>
    <xf numFmtId="177" fontId="172" fillId="35" borderId="13" xfId="103" applyNumberFormat="1" applyFont="1" applyFill="1" applyBorder="1" applyAlignment="1">
      <alignment horizontal="left" vertical="center" wrapText="1"/>
    </xf>
    <xf numFmtId="176" fontId="172" fillId="35" borderId="13" xfId="103" applyNumberFormat="1" applyFont="1" applyFill="1" applyBorder="1" applyAlignment="1">
      <alignment horizontal="center"/>
    </xf>
    <xf numFmtId="177" fontId="172" fillId="35" borderId="13" xfId="103" applyNumberFormat="1" applyFont="1" applyFill="1" applyBorder="1" applyAlignment="1">
      <alignment horizontal="center"/>
    </xf>
    <xf numFmtId="177" fontId="172" fillId="35" borderId="13" xfId="103" applyNumberFormat="1" applyFont="1" applyFill="1" applyBorder="1"/>
    <xf numFmtId="176" fontId="178" fillId="35" borderId="13" xfId="103" applyNumberFormat="1" applyFont="1" applyFill="1" applyBorder="1" applyAlignment="1">
      <alignment horizontal="center"/>
    </xf>
    <xf numFmtId="177" fontId="178" fillId="35" borderId="13" xfId="103" applyNumberFormat="1" applyFont="1" applyFill="1" applyBorder="1" applyAlignment="1">
      <alignment horizontal="left" vertical="center" wrapText="1"/>
    </xf>
    <xf numFmtId="177" fontId="178" fillId="35" borderId="13" xfId="103" applyNumberFormat="1" applyFont="1" applyFill="1" applyBorder="1" applyAlignment="1">
      <alignment horizontal="center"/>
    </xf>
    <xf numFmtId="176" fontId="172" fillId="35" borderId="13" xfId="103" quotePrefix="1" applyNumberFormat="1" applyFont="1" applyFill="1" applyBorder="1" applyAlignment="1">
      <alignment horizontal="center"/>
    </xf>
    <xf numFmtId="185" fontId="172" fillId="35" borderId="13" xfId="103" applyNumberFormat="1" applyFont="1" applyFill="1" applyBorder="1"/>
    <xf numFmtId="177" fontId="172" fillId="35" borderId="13" xfId="103" applyNumberFormat="1" applyFont="1" applyFill="1" applyBorder="1" applyAlignment="1">
      <alignment wrapText="1"/>
    </xf>
    <xf numFmtId="0" fontId="7"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57" fillId="35" borderId="13" xfId="0" applyFont="1" applyFill="1" applyBorder="1" applyAlignment="1">
      <alignment horizontal="center" vertical="center" wrapText="1"/>
    </xf>
    <xf numFmtId="167" fontId="57" fillId="35" borderId="13" xfId="0" applyNumberFormat="1" applyFont="1" applyFill="1" applyBorder="1" applyAlignment="1">
      <alignment horizontal="center" vertical="center" wrapText="1"/>
    </xf>
    <xf numFmtId="0" fontId="57" fillId="35" borderId="35" xfId="0" applyFont="1" applyFill="1" applyBorder="1" applyAlignment="1">
      <alignment horizontal="center" vertical="center"/>
    </xf>
    <xf numFmtId="0" fontId="57" fillId="35" borderId="13" xfId="0" applyFont="1" applyFill="1" applyBorder="1" applyAlignment="1">
      <alignment horizontal="center" vertical="center"/>
    </xf>
    <xf numFmtId="0" fontId="57" fillId="35" borderId="13" xfId="0" applyFont="1" applyFill="1" applyBorder="1" applyAlignment="1">
      <alignment horizontal="left" vertical="center" wrapText="1"/>
    </xf>
    <xf numFmtId="0" fontId="57" fillId="35" borderId="13" xfId="0" applyFont="1" applyFill="1" applyBorder="1" applyAlignment="1">
      <alignment vertical="center"/>
    </xf>
    <xf numFmtId="0" fontId="38" fillId="35" borderId="13" xfId="0" applyFont="1" applyFill="1" applyBorder="1" applyAlignment="1">
      <alignment horizontal="center" vertical="center"/>
    </xf>
    <xf numFmtId="0" fontId="38" fillId="35" borderId="13" xfId="232" applyFont="1" applyFill="1" applyBorder="1" applyAlignment="1">
      <alignment horizontal="left" vertical="center" wrapText="1"/>
    </xf>
    <xf numFmtId="0" fontId="38" fillId="35" borderId="13" xfId="0" applyFont="1" applyFill="1" applyBorder="1" applyAlignment="1">
      <alignment horizontal="center" vertical="center" wrapText="1"/>
    </xf>
    <xf numFmtId="188" fontId="38" fillId="35" borderId="13" xfId="0" applyNumberFormat="1" applyFont="1" applyFill="1" applyBorder="1" applyAlignment="1">
      <alignment horizontal="center" vertical="center" wrapText="1"/>
    </xf>
    <xf numFmtId="167" fontId="38" fillId="35" borderId="13" xfId="0" applyNumberFormat="1" applyFont="1" applyFill="1" applyBorder="1" applyAlignment="1">
      <alignment horizontal="center" vertical="center" wrapText="1"/>
    </xf>
    <xf numFmtId="0" fontId="57" fillId="35" borderId="13" xfId="232" applyFont="1" applyFill="1" applyBorder="1" applyAlignment="1">
      <alignment horizontal="left" vertical="center" wrapText="1"/>
    </xf>
    <xf numFmtId="167" fontId="57" fillId="35" borderId="13" xfId="0" applyNumberFormat="1" applyFont="1" applyFill="1" applyBorder="1" applyAlignment="1">
      <alignment vertical="center"/>
    </xf>
    <xf numFmtId="0" fontId="38" fillId="35" borderId="13" xfId="0" applyFont="1" applyFill="1" applyBorder="1" applyAlignment="1">
      <alignment vertical="center"/>
    </xf>
    <xf numFmtId="180" fontId="38" fillId="35" borderId="13" xfId="0" applyNumberFormat="1" applyFont="1" applyFill="1" applyBorder="1" applyAlignment="1">
      <alignment horizontal="center" vertical="center"/>
    </xf>
    <xf numFmtId="167" fontId="38" fillId="35" borderId="13" xfId="0" applyNumberFormat="1" applyFont="1" applyFill="1" applyBorder="1" applyAlignment="1">
      <alignment vertical="center"/>
    </xf>
    <xf numFmtId="0" fontId="38" fillId="35" borderId="13" xfId="232" applyFont="1" applyFill="1" applyBorder="1" applyAlignment="1">
      <alignment horizontal="center" vertical="center" wrapText="1"/>
    </xf>
    <xf numFmtId="0" fontId="63" fillId="35" borderId="13" xfId="0" applyFont="1" applyFill="1" applyBorder="1" applyAlignment="1">
      <alignment horizontal="center" vertical="center"/>
    </xf>
    <xf numFmtId="0" fontId="63" fillId="35" borderId="13" xfId="232" applyFont="1" applyFill="1" applyBorder="1" applyAlignment="1">
      <alignment horizontal="left" vertical="center" wrapText="1"/>
    </xf>
    <xf numFmtId="0" fontId="38" fillId="35" borderId="13" xfId="0" applyFont="1" applyFill="1" applyBorder="1" applyAlignment="1">
      <alignment vertical="center" wrapText="1"/>
    </xf>
    <xf numFmtId="167" fontId="63" fillId="35" borderId="13" xfId="0" applyNumberFormat="1" applyFont="1" applyFill="1" applyBorder="1" applyAlignment="1">
      <alignment horizontal="center" vertical="center" wrapText="1"/>
    </xf>
    <xf numFmtId="0" fontId="63" fillId="35" borderId="13" xfId="0" applyFont="1" applyFill="1" applyBorder="1" applyAlignment="1">
      <alignment vertical="center"/>
    </xf>
    <xf numFmtId="167" fontId="180" fillId="35" borderId="13" xfId="0" applyNumberFormat="1" applyFont="1" applyFill="1" applyBorder="1" applyAlignment="1">
      <alignment horizontal="center" vertical="center" wrapText="1"/>
    </xf>
    <xf numFmtId="0" fontId="180" fillId="35" borderId="3" xfId="0" applyFont="1" applyFill="1" applyBorder="1" applyAlignment="1">
      <alignment vertical="center" wrapText="1"/>
    </xf>
    <xf numFmtId="0" fontId="180" fillId="35" borderId="13" xfId="0" applyFont="1" applyFill="1" applyBorder="1" applyAlignment="1">
      <alignment horizontal="center" vertical="center"/>
    </xf>
    <xf numFmtId="0" fontId="180" fillId="35" borderId="13" xfId="232" applyFont="1" applyFill="1" applyBorder="1" applyAlignment="1">
      <alignment horizontal="left" vertical="center" wrapText="1"/>
    </xf>
    <xf numFmtId="0" fontId="180" fillId="35" borderId="13" xfId="0" applyFont="1" applyFill="1" applyBorder="1" applyAlignment="1">
      <alignment vertical="center" wrapText="1"/>
    </xf>
    <xf numFmtId="0" fontId="180" fillId="35" borderId="13" xfId="0" applyFont="1" applyFill="1" applyBorder="1" applyAlignment="1">
      <alignment horizontal="center" vertical="center" wrapText="1"/>
    </xf>
    <xf numFmtId="0" fontId="180" fillId="35" borderId="13" xfId="0" applyFont="1" applyFill="1" applyBorder="1" applyAlignment="1">
      <alignment vertical="center"/>
    </xf>
    <xf numFmtId="167" fontId="180" fillId="35" borderId="13" xfId="0" applyNumberFormat="1" applyFont="1" applyFill="1" applyBorder="1" applyAlignment="1">
      <alignment vertical="center"/>
    </xf>
    <xf numFmtId="41" fontId="38" fillId="35" borderId="13" xfId="299" applyNumberFormat="1" applyFont="1" applyFill="1" applyBorder="1" applyAlignment="1">
      <alignment horizontal="center" vertical="center" wrapText="1"/>
    </xf>
    <xf numFmtId="173" fontId="57" fillId="35" borderId="13" xfId="103" applyNumberFormat="1" applyFont="1" applyFill="1" applyBorder="1" applyAlignment="1">
      <alignment vertical="center"/>
    </xf>
    <xf numFmtId="173" fontId="38" fillId="35" borderId="13" xfId="103" applyNumberFormat="1" applyFont="1" applyFill="1" applyBorder="1" applyAlignment="1">
      <alignment vertical="center"/>
    </xf>
    <xf numFmtId="0" fontId="38" fillId="35" borderId="3" xfId="232" applyFont="1" applyFill="1" applyBorder="1" applyAlignment="1">
      <alignment horizontal="center" vertical="center" wrapText="1"/>
    </xf>
    <xf numFmtId="0" fontId="186" fillId="0" borderId="0" xfId="0" applyFont="1"/>
    <xf numFmtId="0" fontId="187" fillId="35" borderId="13" xfId="0" applyFont="1" applyFill="1" applyBorder="1" applyAlignment="1">
      <alignment horizontal="center" vertical="center"/>
    </xf>
    <xf numFmtId="0" fontId="187" fillId="35" borderId="13" xfId="232" applyFont="1" applyFill="1" applyBorder="1" applyAlignment="1">
      <alignment horizontal="left" vertical="center" wrapText="1"/>
    </xf>
    <xf numFmtId="0" fontId="187" fillId="35" borderId="13" xfId="0" applyFont="1" applyFill="1" applyBorder="1" applyAlignment="1">
      <alignment horizontal="center" vertical="center" wrapText="1"/>
    </xf>
    <xf numFmtId="167" fontId="187" fillId="35" borderId="13" xfId="0" applyNumberFormat="1" applyFont="1" applyFill="1" applyBorder="1" applyAlignment="1">
      <alignment horizontal="center" vertical="center" wrapText="1"/>
    </xf>
    <xf numFmtId="0" fontId="187" fillId="35" borderId="13" xfId="0" applyFont="1" applyFill="1" applyBorder="1" applyAlignment="1">
      <alignment vertical="center"/>
    </xf>
    <xf numFmtId="167" fontId="187" fillId="35" borderId="13" xfId="0" applyNumberFormat="1" applyFont="1" applyFill="1" applyBorder="1" applyAlignment="1">
      <alignment vertical="center"/>
    </xf>
    <xf numFmtId="0" fontId="188" fillId="35" borderId="13" xfId="0" applyFont="1" applyFill="1" applyBorder="1" applyAlignment="1">
      <alignment horizontal="center" vertical="center"/>
    </xf>
    <xf numFmtId="0" fontId="188" fillId="35" borderId="13" xfId="232" applyFont="1" applyFill="1" applyBorder="1" applyAlignment="1">
      <alignment horizontal="left" vertical="center" wrapText="1"/>
    </xf>
    <xf numFmtId="0" fontId="188" fillId="35" borderId="13" xfId="0" applyFont="1" applyFill="1" applyBorder="1" applyAlignment="1">
      <alignment vertical="center"/>
    </xf>
    <xf numFmtId="167" fontId="188" fillId="35" borderId="13" xfId="0" applyNumberFormat="1" applyFont="1" applyFill="1" applyBorder="1" applyAlignment="1">
      <alignment horizontal="center" vertical="center" wrapText="1"/>
    </xf>
    <xf numFmtId="167" fontId="188" fillId="35" borderId="13" xfId="0" applyNumberFormat="1" applyFont="1" applyFill="1" applyBorder="1" applyAlignment="1">
      <alignment vertical="center"/>
    </xf>
    <xf numFmtId="0" fontId="180" fillId="35" borderId="13" xfId="232" applyFont="1" applyFill="1" applyBorder="1" applyAlignment="1">
      <alignment horizontal="center" vertical="center" wrapText="1"/>
    </xf>
    <xf numFmtId="180" fontId="180" fillId="35" borderId="13" xfId="0" applyNumberFormat="1" applyFont="1" applyFill="1" applyBorder="1" applyAlignment="1">
      <alignment horizontal="center" vertical="center"/>
    </xf>
    <xf numFmtId="0" fontId="187" fillId="35" borderId="13" xfId="0" applyFont="1" applyFill="1" applyBorder="1" applyAlignment="1">
      <alignment vertical="center" wrapText="1"/>
    </xf>
    <xf numFmtId="0" fontId="180" fillId="35" borderId="0" xfId="0" applyFont="1" applyFill="1" applyAlignment="1">
      <alignment vertical="center"/>
    </xf>
    <xf numFmtId="0" fontId="188" fillId="35" borderId="13" xfId="0" applyFont="1" applyFill="1" applyBorder="1" applyAlignment="1">
      <alignment vertical="center" wrapText="1"/>
    </xf>
    <xf numFmtId="173" fontId="187" fillId="35" borderId="13" xfId="103" applyNumberFormat="1" applyFont="1" applyFill="1" applyBorder="1" applyAlignment="1">
      <alignment vertical="center"/>
    </xf>
    <xf numFmtId="173" fontId="180" fillId="35" borderId="13" xfId="103" applyNumberFormat="1" applyFont="1" applyFill="1" applyBorder="1" applyAlignment="1">
      <alignment vertical="center"/>
    </xf>
    <xf numFmtId="0" fontId="64" fillId="0" borderId="0" xfId="0" applyFont="1"/>
    <xf numFmtId="0" fontId="189" fillId="0" borderId="13" xfId="0" applyFont="1" applyBorder="1" applyAlignment="1">
      <alignment horizontal="center" vertical="center" wrapText="1"/>
    </xf>
    <xf numFmtId="167" fontId="189" fillId="0" borderId="13" xfId="0" applyNumberFormat="1" applyFont="1" applyBorder="1" applyAlignment="1">
      <alignment horizontal="center" vertical="center" wrapText="1"/>
    </xf>
    <xf numFmtId="167" fontId="189" fillId="0" borderId="35" xfId="0" applyNumberFormat="1" applyFont="1" applyBorder="1" applyAlignment="1">
      <alignment horizontal="center" vertical="center"/>
    </xf>
    <xf numFmtId="0" fontId="189" fillId="0" borderId="13" xfId="0" applyFont="1" applyBorder="1" applyAlignment="1">
      <alignment horizontal="center" vertical="center"/>
    </xf>
    <xf numFmtId="0" fontId="189" fillId="0" borderId="13" xfId="0" applyFont="1" applyBorder="1" applyAlignment="1">
      <alignment vertical="center"/>
    </xf>
    <xf numFmtId="167" fontId="189" fillId="0" borderId="13" xfId="0" applyNumberFormat="1" applyFont="1" applyBorder="1" applyAlignment="1">
      <alignment horizontal="center" vertical="center"/>
    </xf>
    <xf numFmtId="0" fontId="38" fillId="0" borderId="13" xfId="0" applyFont="1" applyBorder="1" applyAlignment="1">
      <alignment horizontal="center" vertical="center"/>
    </xf>
    <xf numFmtId="0" fontId="38" fillId="0" borderId="13" xfId="232" applyFont="1" applyBorder="1" applyAlignment="1">
      <alignment horizontal="left" vertical="center" wrapText="1"/>
    </xf>
    <xf numFmtId="167" fontId="38" fillId="0" borderId="13" xfId="0" applyNumberFormat="1" applyFont="1" applyBorder="1" applyAlignment="1">
      <alignment horizontal="center" vertical="center"/>
    </xf>
    <xf numFmtId="167" fontId="57" fillId="0" borderId="13" xfId="0" applyNumberFormat="1" applyFont="1" applyBorder="1" applyAlignment="1">
      <alignment horizontal="center" vertical="center"/>
    </xf>
    <xf numFmtId="167" fontId="38" fillId="0" borderId="13" xfId="0" applyNumberFormat="1" applyFont="1" applyBorder="1" applyAlignment="1">
      <alignment horizontal="center" vertical="center" wrapText="1"/>
    </xf>
    <xf numFmtId="167" fontId="180" fillId="0" borderId="13" xfId="0" applyNumberFormat="1" applyFont="1" applyBorder="1" applyAlignment="1">
      <alignment horizontal="center" vertical="center" wrapText="1"/>
    </xf>
    <xf numFmtId="0" fontId="65" fillId="0" borderId="13" xfId="0" applyFont="1" applyBorder="1" applyAlignment="1">
      <alignment horizontal="center" vertical="center"/>
    </xf>
    <xf numFmtId="0" fontId="65" fillId="35" borderId="13" xfId="232" applyFont="1" applyFill="1" applyBorder="1" applyAlignment="1">
      <alignment horizontal="left" vertical="center" wrapText="1"/>
    </xf>
    <xf numFmtId="167" fontId="65" fillId="0" borderId="13" xfId="0" applyNumberFormat="1" applyFont="1" applyBorder="1" applyAlignment="1">
      <alignment horizontal="center" vertical="center"/>
    </xf>
    <xf numFmtId="0" fontId="42" fillId="0" borderId="13" xfId="0" applyFont="1" applyBorder="1" applyAlignment="1">
      <alignment horizontal="center" vertical="center"/>
    </xf>
    <xf numFmtId="0" fontId="65" fillId="0" borderId="13" xfId="232" applyFont="1" applyBorder="1" applyAlignment="1">
      <alignment horizontal="left" vertical="center" wrapText="1"/>
    </xf>
    <xf numFmtId="167" fontId="42" fillId="0" borderId="13" xfId="0" applyNumberFormat="1" applyFont="1" applyBorder="1" applyAlignment="1">
      <alignment horizontal="center" vertical="center"/>
    </xf>
    <xf numFmtId="167" fontId="190" fillId="0" borderId="13" xfId="0" applyNumberFormat="1" applyFont="1" applyBorder="1" applyAlignment="1">
      <alignment horizontal="center" vertical="center"/>
    </xf>
    <xf numFmtId="0" fontId="191" fillId="0" borderId="13" xfId="0" applyFont="1" applyBorder="1" applyAlignment="1">
      <alignment vertical="center" wrapText="1"/>
    </xf>
    <xf numFmtId="0" fontId="191" fillId="0" borderId="13" xfId="0" applyFont="1" applyBorder="1" applyAlignment="1">
      <alignment horizontal="center" vertical="center" wrapText="1"/>
    </xf>
    <xf numFmtId="169" fontId="172" fillId="0" borderId="13" xfId="0" applyNumberFormat="1" applyFont="1" applyBorder="1" applyAlignment="1">
      <alignment vertical="center" wrapText="1"/>
    </xf>
    <xf numFmtId="0" fontId="174" fillId="0" borderId="13" xfId="0" applyFont="1" applyBorder="1" applyAlignment="1">
      <alignment horizontal="center" wrapText="1"/>
    </xf>
    <xf numFmtId="172" fontId="172" fillId="0" borderId="13" xfId="128" applyNumberFormat="1" applyFont="1" applyFill="1" applyBorder="1" applyAlignment="1">
      <alignment vertical="center" wrapText="1"/>
    </xf>
    <xf numFmtId="173" fontId="7" fillId="0" borderId="13" xfId="0" applyNumberFormat="1" applyFont="1" applyBorder="1" applyAlignment="1">
      <alignment horizontal="center" vertical="center" wrapText="1"/>
    </xf>
    <xf numFmtId="173" fontId="2" fillId="0" borderId="0" xfId="0" applyNumberFormat="1" applyFont="1" applyAlignment="1">
      <alignment horizontal="center"/>
    </xf>
    <xf numFmtId="0" fontId="7" fillId="35" borderId="13" xfId="0" applyFont="1" applyFill="1" applyBorder="1" applyAlignment="1">
      <alignment horizontal="justify" vertical="center" wrapText="1"/>
    </xf>
    <xf numFmtId="4" fontId="7" fillId="35" borderId="13" xfId="0" applyNumberFormat="1" applyFont="1" applyFill="1" applyBorder="1" applyAlignment="1">
      <alignment horizontal="center" vertical="center" wrapText="1"/>
    </xf>
    <xf numFmtId="169" fontId="7" fillId="35" borderId="13" xfId="118" applyFont="1" applyFill="1" applyBorder="1" applyAlignment="1">
      <alignment horizontal="center" vertical="center" wrapText="1"/>
    </xf>
    <xf numFmtId="173" fontId="7" fillId="35" borderId="13" xfId="128" applyNumberFormat="1" applyFont="1" applyFill="1" applyBorder="1" applyAlignment="1">
      <alignment horizontal="center" vertical="center" wrapText="1"/>
    </xf>
    <xf numFmtId="0" fontId="2" fillId="35" borderId="0" xfId="0" applyFont="1" applyFill="1"/>
    <xf numFmtId="175" fontId="7" fillId="0" borderId="13" xfId="118" applyNumberFormat="1" applyFont="1" applyFill="1" applyBorder="1" applyAlignment="1">
      <alignment horizontal="center" vertical="center" wrapText="1"/>
    </xf>
    <xf numFmtId="169" fontId="7" fillId="35" borderId="13" xfId="0" applyNumberFormat="1" applyFont="1" applyFill="1" applyBorder="1" applyAlignment="1">
      <alignment horizontal="center" vertical="center" wrapText="1"/>
    </xf>
    <xf numFmtId="0" fontId="7" fillId="37" borderId="13" xfId="0" applyFont="1" applyFill="1" applyBorder="1" applyAlignment="1">
      <alignment horizontal="justify" vertical="center" wrapText="1"/>
    </xf>
    <xf numFmtId="0" fontId="180" fillId="0" borderId="13" xfId="0" applyFont="1" applyBorder="1" applyAlignment="1">
      <alignment horizontal="center" vertical="center" wrapText="1"/>
    </xf>
    <xf numFmtId="0" fontId="180" fillId="0" borderId="13" xfId="0" applyFont="1" applyBorder="1" applyAlignment="1">
      <alignment horizontal="left" vertical="center" wrapText="1"/>
    </xf>
    <xf numFmtId="172" fontId="192" fillId="0" borderId="13" xfId="122" applyNumberFormat="1" applyFont="1" applyFill="1" applyBorder="1" applyAlignment="1">
      <alignment vertical="center" wrapText="1"/>
    </xf>
    <xf numFmtId="172" fontId="180" fillId="0" borderId="33" xfId="122" applyNumberFormat="1" applyFont="1" applyFill="1" applyBorder="1" applyAlignment="1">
      <alignment horizontal="center" vertical="center" shrinkToFit="1"/>
    </xf>
    <xf numFmtId="178" fontId="193" fillId="0" borderId="31" xfId="122" applyNumberFormat="1" applyFont="1" applyFill="1" applyBorder="1" applyAlignment="1">
      <alignment vertical="center" shrinkToFit="1"/>
    </xf>
    <xf numFmtId="172" fontId="180" fillId="0" borderId="0" xfId="122" applyNumberFormat="1" applyFont="1" applyFill="1" applyBorder="1" applyAlignment="1">
      <alignment horizontal="center" vertical="center" shrinkToFit="1"/>
    </xf>
    <xf numFmtId="173" fontId="192" fillId="0" borderId="0" xfId="0" applyNumberFormat="1" applyFont="1"/>
    <xf numFmtId="173" fontId="187" fillId="0" borderId="0" xfId="0" applyNumberFormat="1" applyFont="1"/>
    <xf numFmtId="0" fontId="194" fillId="0" borderId="0" xfId="0" applyFont="1"/>
    <xf numFmtId="0" fontId="180" fillId="0" borderId="13" xfId="0" quotePrefix="1" applyFont="1" applyBorder="1" applyAlignment="1">
      <alignment horizontal="center" vertical="center" wrapText="1"/>
    </xf>
    <xf numFmtId="172" fontId="188" fillId="0" borderId="33" xfId="122" applyNumberFormat="1" applyFont="1" applyFill="1" applyBorder="1" applyAlignment="1">
      <alignment horizontal="center" vertical="center" shrinkToFit="1"/>
    </xf>
    <xf numFmtId="178" fontId="195" fillId="0" borderId="31" xfId="122" applyNumberFormat="1" applyFont="1" applyFill="1" applyBorder="1" applyAlignment="1">
      <alignment vertical="center" shrinkToFit="1"/>
    </xf>
    <xf numFmtId="172" fontId="188" fillId="0" borderId="0" xfId="122" applyNumberFormat="1" applyFont="1" applyFill="1" applyBorder="1" applyAlignment="1">
      <alignment horizontal="center" vertical="center" shrinkToFit="1"/>
    </xf>
    <xf numFmtId="0" fontId="180" fillId="0" borderId="13" xfId="0" quotePrefix="1" applyFont="1" applyBorder="1" applyAlignment="1">
      <alignment horizontal="center" vertical="center"/>
    </xf>
    <xf numFmtId="0" fontId="180" fillId="0" borderId="13" xfId="0" applyFont="1" applyBorder="1" applyAlignment="1">
      <alignment horizontal="center" vertical="center"/>
    </xf>
    <xf numFmtId="172" fontId="180" fillId="0" borderId="13" xfId="118" applyNumberFormat="1" applyFont="1" applyFill="1" applyBorder="1" applyAlignment="1">
      <alignment vertical="center" wrapText="1"/>
    </xf>
    <xf numFmtId="173" fontId="180" fillId="0" borderId="13" xfId="118" applyNumberFormat="1" applyFont="1" applyFill="1" applyBorder="1" applyAlignment="1">
      <alignment vertical="center"/>
    </xf>
    <xf numFmtId="184" fontId="180" fillId="0" borderId="0" xfId="0" applyNumberFormat="1" applyFont="1" applyAlignment="1">
      <alignment shrinkToFit="1"/>
    </xf>
    <xf numFmtId="0" fontId="180" fillId="0" borderId="0" xfId="0" applyFont="1"/>
    <xf numFmtId="172" fontId="180" fillId="0" borderId="13" xfId="118" applyNumberFormat="1" applyFont="1" applyFill="1" applyBorder="1" applyAlignment="1">
      <alignment vertical="center"/>
    </xf>
    <xf numFmtId="0" fontId="180" fillId="0" borderId="13" xfId="0" applyFont="1" applyBorder="1"/>
    <xf numFmtId="172" fontId="180" fillId="0" borderId="13" xfId="0" applyNumberFormat="1" applyFont="1" applyBorder="1"/>
    <xf numFmtId="0" fontId="180" fillId="0" borderId="13" xfId="0" applyFont="1" applyBorder="1" applyAlignment="1">
      <alignment vertical="center" wrapText="1"/>
    </xf>
    <xf numFmtId="177" fontId="180" fillId="0" borderId="13" xfId="103" applyNumberFormat="1" applyFont="1" applyFill="1" applyBorder="1" applyAlignment="1">
      <alignment horizontal="center" vertical="center" wrapText="1"/>
    </xf>
    <xf numFmtId="177" fontId="180" fillId="0" borderId="13" xfId="103" applyNumberFormat="1" applyFont="1" applyFill="1" applyBorder="1" applyAlignment="1">
      <alignment vertical="center" wrapText="1"/>
    </xf>
    <xf numFmtId="176" fontId="180" fillId="0" borderId="13" xfId="103" applyNumberFormat="1" applyFont="1" applyFill="1" applyBorder="1" applyAlignment="1">
      <alignment vertical="center" wrapText="1"/>
    </xf>
    <xf numFmtId="177" fontId="188" fillId="0" borderId="13" xfId="103" applyNumberFormat="1" applyFont="1" applyFill="1" applyBorder="1" applyAlignment="1">
      <alignment vertical="center" wrapText="1"/>
    </xf>
    <xf numFmtId="0" fontId="196" fillId="0" borderId="0" xfId="0" applyFont="1"/>
    <xf numFmtId="0" fontId="197" fillId="0" borderId="0" xfId="0" applyFont="1"/>
    <xf numFmtId="184" fontId="196" fillId="0" borderId="0" xfId="0" applyNumberFormat="1" applyFont="1" applyAlignment="1">
      <alignment shrinkToFit="1"/>
    </xf>
    <xf numFmtId="176" fontId="188" fillId="35" borderId="13" xfId="103" applyNumberFormat="1" applyFont="1" applyFill="1" applyBorder="1" applyAlignment="1">
      <alignment horizontal="center"/>
    </xf>
    <xf numFmtId="177" fontId="180" fillId="35" borderId="13" xfId="103" applyNumberFormat="1" applyFont="1" applyFill="1" applyBorder="1" applyAlignment="1">
      <alignment horizontal="left" vertical="center" wrapText="1"/>
    </xf>
    <xf numFmtId="177" fontId="180" fillId="35" borderId="13" xfId="103" applyNumberFormat="1" applyFont="1" applyFill="1" applyBorder="1" applyAlignment="1">
      <alignment horizontal="center"/>
    </xf>
    <xf numFmtId="177" fontId="180" fillId="35" borderId="13" xfId="103" applyNumberFormat="1" applyFont="1" applyFill="1" applyBorder="1" applyAlignment="1">
      <alignment horizontal="center" vertical="center" wrapText="1"/>
    </xf>
    <xf numFmtId="177" fontId="188" fillId="35" borderId="13" xfId="103" applyNumberFormat="1" applyFont="1" applyFill="1" applyBorder="1" applyAlignment="1">
      <alignment horizontal="right"/>
    </xf>
    <xf numFmtId="184" fontId="52" fillId="0" borderId="0" xfId="204" applyNumberFormat="1" applyFont="1" applyAlignment="1">
      <alignment shrinkToFit="1"/>
    </xf>
    <xf numFmtId="0" fontId="52" fillId="0" borderId="0" xfId="204" applyFont="1"/>
    <xf numFmtId="0" fontId="7" fillId="0" borderId="0" xfId="204" applyFont="1" applyAlignment="1">
      <alignment horizontal="center" vertical="center"/>
    </xf>
    <xf numFmtId="0" fontId="52" fillId="0" borderId="0" xfId="204" applyFont="1" applyAlignment="1">
      <alignment horizontal="center"/>
    </xf>
    <xf numFmtId="184" fontId="52" fillId="0" borderId="0" xfId="204" applyNumberFormat="1" applyFont="1" applyAlignment="1">
      <alignment horizontal="center"/>
    </xf>
    <xf numFmtId="180" fontId="52" fillId="0" borderId="0" xfId="204" applyNumberFormat="1" applyFont="1" applyAlignment="1">
      <alignment horizontal="center"/>
    </xf>
    <xf numFmtId="0" fontId="51" fillId="0" borderId="0" xfId="204" applyFont="1" applyAlignment="1">
      <alignment horizontal="center"/>
    </xf>
    <xf numFmtId="0" fontId="51" fillId="0" borderId="0" xfId="204" applyFont="1"/>
    <xf numFmtId="0" fontId="6" fillId="0" borderId="13" xfId="204" applyFont="1" applyBorder="1" applyAlignment="1">
      <alignment horizontal="center" vertical="center" wrapText="1"/>
    </xf>
    <xf numFmtId="0" fontId="52" fillId="0" borderId="13" xfId="204" applyFont="1" applyBorder="1" applyAlignment="1">
      <alignment horizontal="centerContinuous" vertical="center" wrapText="1"/>
    </xf>
    <xf numFmtId="178" fontId="52" fillId="0" borderId="0" xfId="204" applyNumberFormat="1" applyFont="1"/>
    <xf numFmtId="0" fontId="53" fillId="0" borderId="35" xfId="204" applyFont="1" applyBorder="1" applyAlignment="1">
      <alignment horizontal="center" vertical="center" wrapText="1"/>
    </xf>
    <xf numFmtId="0" fontId="7" fillId="0" borderId="13" xfId="204" quotePrefix="1" applyFont="1" applyBorder="1" applyAlignment="1">
      <alignment horizontal="center" vertical="center" wrapText="1" shrinkToFit="1"/>
    </xf>
    <xf numFmtId="0" fontId="25" fillId="0" borderId="13" xfId="204" quotePrefix="1" applyFont="1" applyBorder="1" applyAlignment="1">
      <alignment horizontal="center" vertical="center" wrapText="1" shrinkToFit="1"/>
    </xf>
    <xf numFmtId="0" fontId="25" fillId="0" borderId="0" xfId="204" applyFont="1"/>
    <xf numFmtId="173" fontId="11" fillId="0" borderId="13" xfId="204" applyNumberFormat="1" applyFont="1" applyBorder="1"/>
    <xf numFmtId="178" fontId="25" fillId="0" borderId="3" xfId="204" quotePrefix="1" applyNumberFormat="1" applyFont="1" applyBorder="1" applyAlignment="1">
      <alignment horizontal="center" vertical="center" wrapText="1" shrinkToFit="1"/>
    </xf>
    <xf numFmtId="178" fontId="6" fillId="0" borderId="13" xfId="204" applyNumberFormat="1" applyFont="1" applyBorder="1" applyAlignment="1">
      <alignment horizontal="right" vertical="center" shrinkToFit="1"/>
    </xf>
    <xf numFmtId="178" fontId="6" fillId="0" borderId="13" xfId="112" applyNumberFormat="1" applyFont="1" applyFill="1" applyBorder="1" applyAlignment="1">
      <alignment vertical="center" shrinkToFit="1"/>
    </xf>
    <xf numFmtId="172" fontId="6" fillId="0" borderId="34" xfId="112" applyNumberFormat="1" applyFont="1" applyFill="1" applyBorder="1" applyAlignment="1">
      <alignment horizontal="center" vertical="center" shrinkToFit="1"/>
    </xf>
    <xf numFmtId="178" fontId="54" fillId="0" borderId="31" xfId="112" applyNumberFormat="1" applyFont="1" applyFill="1" applyBorder="1" applyAlignment="1">
      <alignment vertical="center" shrinkToFit="1"/>
    </xf>
    <xf numFmtId="172" fontId="6" fillId="0" borderId="31" xfId="112" applyNumberFormat="1" applyFont="1" applyFill="1" applyBorder="1" applyAlignment="1">
      <alignment horizontal="center" vertical="center" shrinkToFit="1"/>
    </xf>
    <xf numFmtId="173" fontId="11" fillId="0" borderId="0" xfId="204" applyNumberFormat="1" applyFont="1"/>
    <xf numFmtId="173" fontId="18" fillId="0" borderId="0" xfId="204" applyNumberFormat="1" applyFont="1"/>
    <xf numFmtId="0" fontId="6" fillId="0" borderId="0" xfId="204" applyFont="1"/>
    <xf numFmtId="178" fontId="6" fillId="0" borderId="36" xfId="112" applyNumberFormat="1" applyFont="1" applyFill="1" applyBorder="1" applyAlignment="1">
      <alignment vertical="center" shrinkToFit="1"/>
    </xf>
    <xf numFmtId="0" fontId="11" fillId="0" borderId="13" xfId="204" applyFont="1" applyBorder="1" applyAlignment="1">
      <alignment horizontal="center" vertical="center" wrapText="1"/>
    </xf>
    <xf numFmtId="0" fontId="11" fillId="0" borderId="13" xfId="204" applyFont="1" applyBorder="1" applyAlignment="1">
      <alignment horizontal="justify" vertical="center" wrapText="1"/>
    </xf>
    <xf numFmtId="0" fontId="7" fillId="0" borderId="13" xfId="204" applyFont="1" applyBorder="1" applyAlignment="1">
      <alignment horizontal="center" vertical="center" wrapText="1"/>
    </xf>
    <xf numFmtId="178" fontId="11" fillId="0" borderId="13" xfId="204" applyNumberFormat="1" applyFont="1" applyBorder="1" applyAlignment="1">
      <alignment horizontal="right" vertical="center" shrinkToFit="1"/>
    </xf>
    <xf numFmtId="178" fontId="55" fillId="0" borderId="37" xfId="112" applyNumberFormat="1" applyFont="1" applyFill="1" applyBorder="1" applyAlignment="1">
      <alignment vertical="center" shrinkToFit="1"/>
    </xf>
    <xf numFmtId="178" fontId="55" fillId="0" borderId="32" xfId="112" applyNumberFormat="1" applyFont="1" applyFill="1" applyBorder="1" applyAlignment="1">
      <alignment vertical="center" shrinkToFit="1"/>
    </xf>
    <xf numFmtId="0" fontId="11" fillId="0" borderId="0" xfId="204" applyFont="1"/>
    <xf numFmtId="178" fontId="7" fillId="0" borderId="13" xfId="112" applyNumberFormat="1" applyFont="1" applyFill="1" applyBorder="1" applyAlignment="1">
      <alignment horizontal="center" vertical="center" shrinkToFit="1"/>
    </xf>
    <xf numFmtId="178" fontId="11" fillId="0" borderId="13" xfId="112" applyNumberFormat="1" applyFont="1" applyFill="1" applyBorder="1" applyAlignment="1">
      <alignment horizontal="right" vertical="center" shrinkToFit="1"/>
    </xf>
    <xf numFmtId="172" fontId="11" fillId="0" borderId="38" xfId="112" applyNumberFormat="1" applyFont="1" applyFill="1" applyBorder="1" applyAlignment="1">
      <alignment vertical="center" shrinkToFit="1"/>
    </xf>
    <xf numFmtId="178" fontId="67" fillId="0" borderId="31" xfId="112" applyNumberFormat="1" applyFont="1" applyFill="1" applyBorder="1" applyAlignment="1">
      <alignment vertical="center" shrinkToFit="1"/>
    </xf>
    <xf numFmtId="0" fontId="7" fillId="0" borderId="13" xfId="204" applyFont="1" applyBorder="1" applyAlignment="1">
      <alignment horizontal="justify" vertical="center" wrapText="1"/>
    </xf>
    <xf numFmtId="178" fontId="7" fillId="0" borderId="13" xfId="112" applyNumberFormat="1" applyFont="1" applyFill="1" applyBorder="1" applyAlignment="1">
      <alignment horizontal="right" vertical="center" shrinkToFit="1"/>
    </xf>
    <xf numFmtId="178" fontId="7" fillId="0" borderId="38" xfId="112" applyNumberFormat="1" applyFont="1" applyFill="1" applyBorder="1" applyAlignment="1">
      <alignment horizontal="right" vertical="center" shrinkToFit="1"/>
    </xf>
    <xf numFmtId="0" fontId="7" fillId="0" borderId="0" xfId="204" applyFont="1"/>
    <xf numFmtId="4" fontId="7" fillId="0" borderId="13" xfId="112" applyNumberFormat="1" applyFont="1" applyFill="1" applyBorder="1" applyAlignment="1">
      <alignment horizontal="right" vertical="center" shrinkToFit="1"/>
    </xf>
    <xf numFmtId="4" fontId="7" fillId="0" borderId="38" xfId="112" applyNumberFormat="1" applyFont="1" applyFill="1" applyBorder="1" applyAlignment="1">
      <alignment horizontal="right" vertical="center" shrinkToFit="1"/>
    </xf>
    <xf numFmtId="172" fontId="7" fillId="0" borderId="38" xfId="112" applyNumberFormat="1" applyFont="1" applyFill="1" applyBorder="1" applyAlignment="1">
      <alignment vertical="center" shrinkToFit="1"/>
    </xf>
    <xf numFmtId="178" fontId="11" fillId="0" borderId="13" xfId="112" applyNumberFormat="1" applyFont="1" applyFill="1" applyBorder="1" applyAlignment="1">
      <alignment horizontal="center" vertical="center" shrinkToFit="1"/>
    </xf>
    <xf numFmtId="172" fontId="11" fillId="0" borderId="33" xfId="112" applyNumberFormat="1" applyFont="1" applyFill="1" applyBorder="1" applyAlignment="1">
      <alignment vertical="center" shrinkToFit="1"/>
    </xf>
    <xf numFmtId="178" fontId="67" fillId="0" borderId="19" xfId="112" applyNumberFormat="1" applyFont="1" applyFill="1" applyBorder="1" applyAlignment="1">
      <alignment vertical="center" shrinkToFit="1"/>
    </xf>
    <xf numFmtId="172" fontId="11" fillId="0" borderId="19" xfId="112" applyNumberFormat="1" applyFont="1" applyFill="1" applyBorder="1" applyAlignment="1">
      <alignment vertical="center" shrinkToFit="1"/>
    </xf>
    <xf numFmtId="0" fontId="7" fillId="0" borderId="13" xfId="204" quotePrefix="1" applyFont="1" applyBorder="1" applyAlignment="1">
      <alignment horizontal="center" vertical="center" wrapText="1"/>
    </xf>
    <xf numFmtId="178" fontId="7" fillId="0" borderId="27" xfId="112" applyNumberFormat="1" applyFont="1" applyFill="1" applyBorder="1" applyAlignment="1">
      <alignment horizontal="right" vertical="center" shrinkToFit="1"/>
    </xf>
    <xf numFmtId="178" fontId="11" fillId="0" borderId="27" xfId="112" applyNumberFormat="1" applyFont="1" applyFill="1" applyBorder="1" applyAlignment="1">
      <alignment horizontal="right" vertical="center" shrinkToFit="1"/>
    </xf>
    <xf numFmtId="172" fontId="7" fillId="0" borderId="39" xfId="112" applyNumberFormat="1" applyFont="1" applyFill="1" applyBorder="1" applyAlignment="1">
      <alignment vertical="center" shrinkToFit="1"/>
    </xf>
    <xf numFmtId="0" fontId="6" fillId="0" borderId="13" xfId="204" applyFont="1" applyBorder="1" applyAlignment="1">
      <alignment horizontal="justify" vertical="center" wrapText="1"/>
    </xf>
    <xf numFmtId="178" fontId="6" fillId="0" borderId="27" xfId="112" applyNumberFormat="1" applyFont="1" applyFill="1" applyBorder="1" applyAlignment="1">
      <alignment vertical="center" shrinkToFit="1"/>
    </xf>
    <xf numFmtId="0" fontId="6" fillId="0" borderId="13" xfId="204" applyFont="1" applyBorder="1" applyAlignment="1">
      <alignment horizontal="left" vertical="center" wrapText="1"/>
    </xf>
    <xf numFmtId="172" fontId="6" fillId="0" borderId="13" xfId="112" applyNumberFormat="1" applyFont="1" applyFill="1" applyBorder="1" applyAlignment="1">
      <alignment vertical="center" wrapText="1"/>
    </xf>
    <xf numFmtId="172" fontId="6" fillId="0" borderId="33" xfId="112" applyNumberFormat="1" applyFont="1" applyFill="1" applyBorder="1" applyAlignment="1">
      <alignment horizontal="center" vertical="center" shrinkToFit="1"/>
    </xf>
    <xf numFmtId="172" fontId="6" fillId="0" borderId="0" xfId="112" applyNumberFormat="1" applyFont="1" applyFill="1" applyBorder="1" applyAlignment="1">
      <alignment horizontal="center" vertical="center" shrinkToFit="1"/>
    </xf>
    <xf numFmtId="0" fontId="11" fillId="0" borderId="13" xfId="204" quotePrefix="1" applyFont="1" applyBorder="1" applyAlignment="1">
      <alignment horizontal="center" vertical="center" wrapText="1"/>
    </xf>
    <xf numFmtId="172" fontId="11" fillId="0" borderId="13" xfId="112" applyNumberFormat="1" applyFont="1" applyFill="1" applyBorder="1" applyAlignment="1">
      <alignment vertical="center" wrapText="1"/>
    </xf>
    <xf numFmtId="0" fontId="11" fillId="0" borderId="13" xfId="204" applyFont="1" applyBorder="1"/>
    <xf numFmtId="0" fontId="11" fillId="0" borderId="13" xfId="204" applyFont="1" applyBorder="1" applyAlignment="1">
      <alignment vertical="center"/>
    </xf>
    <xf numFmtId="178" fontId="11" fillId="0" borderId="13" xfId="112" applyNumberFormat="1" applyFont="1" applyFill="1" applyBorder="1" applyAlignment="1">
      <alignment vertical="center" shrinkToFit="1"/>
    </xf>
    <xf numFmtId="172" fontId="11" fillId="0" borderId="33" xfId="112" applyNumberFormat="1" applyFont="1" applyFill="1" applyBorder="1" applyAlignment="1">
      <alignment horizontal="center" vertical="center" shrinkToFit="1"/>
    </xf>
    <xf numFmtId="178" fontId="55" fillId="0" borderId="31" xfId="112" applyNumberFormat="1" applyFont="1" applyFill="1" applyBorder="1" applyAlignment="1">
      <alignment vertical="center" shrinkToFit="1"/>
    </xf>
    <xf numFmtId="172" fontId="11" fillId="0" borderId="0" xfId="112" applyNumberFormat="1" applyFont="1" applyFill="1" applyBorder="1" applyAlignment="1">
      <alignment horizontal="center" vertical="center" shrinkToFit="1"/>
    </xf>
    <xf numFmtId="0" fontId="11" fillId="0" borderId="13" xfId="204" applyFont="1" applyBorder="1" applyAlignment="1">
      <alignment horizontal="left" vertical="center" wrapText="1"/>
    </xf>
    <xf numFmtId="0" fontId="7" fillId="0" borderId="13" xfId="204" applyFont="1" applyBorder="1" applyAlignment="1">
      <alignment horizontal="left" vertical="center" wrapText="1"/>
    </xf>
    <xf numFmtId="172" fontId="7" fillId="0" borderId="13" xfId="112" applyNumberFormat="1" applyFont="1" applyFill="1" applyBorder="1" applyAlignment="1">
      <alignment vertical="center" wrapText="1"/>
    </xf>
    <xf numFmtId="173" fontId="7" fillId="0" borderId="13" xfId="112" applyNumberFormat="1" applyFont="1" applyFill="1" applyBorder="1" applyAlignment="1">
      <alignment vertical="center" wrapText="1"/>
    </xf>
    <xf numFmtId="0" fontId="7" fillId="0" borderId="13" xfId="204" applyFont="1" applyBorder="1"/>
    <xf numFmtId="178" fontId="7" fillId="0" borderId="13" xfId="204" applyNumberFormat="1" applyFont="1" applyBorder="1" applyAlignment="1">
      <alignment vertical="center"/>
    </xf>
    <xf numFmtId="178" fontId="7" fillId="0" borderId="13" xfId="112" applyNumberFormat="1" applyFont="1" applyFill="1" applyBorder="1" applyAlignment="1">
      <alignment vertical="center" shrinkToFit="1"/>
    </xf>
    <xf numFmtId="180" fontId="7" fillId="0" borderId="13" xfId="204" applyNumberFormat="1" applyFont="1" applyBorder="1" applyAlignment="1">
      <alignment horizontal="center" vertical="center" wrapText="1"/>
    </xf>
    <xf numFmtId="178" fontId="6" fillId="0" borderId="13" xfId="112" applyNumberFormat="1" applyFont="1" applyFill="1" applyBorder="1" applyAlignment="1">
      <alignment vertical="center" wrapText="1" shrinkToFit="1"/>
    </xf>
    <xf numFmtId="178" fontId="7" fillId="0" borderId="13" xfId="112" applyNumberFormat="1" applyFont="1" applyFill="1" applyBorder="1" applyAlignment="1">
      <alignment vertical="center" wrapText="1" shrinkToFit="1"/>
    </xf>
    <xf numFmtId="172" fontId="6" fillId="0" borderId="33" xfId="112" applyNumberFormat="1" applyFont="1" applyFill="1" applyBorder="1" applyAlignment="1">
      <alignment horizontal="center" vertical="center" wrapText="1" shrinkToFit="1"/>
    </xf>
    <xf numFmtId="178" fontId="54" fillId="0" borderId="31" xfId="112" applyNumberFormat="1" applyFont="1" applyFill="1" applyBorder="1" applyAlignment="1">
      <alignment vertical="center" wrapText="1" shrinkToFit="1"/>
    </xf>
    <xf numFmtId="172" fontId="6" fillId="0" borderId="0" xfId="112" applyNumberFormat="1" applyFont="1" applyFill="1" applyBorder="1" applyAlignment="1">
      <alignment horizontal="center" vertical="center" wrapText="1" shrinkToFit="1"/>
    </xf>
    <xf numFmtId="0" fontId="6" fillId="0" borderId="0" xfId="204" applyFont="1" applyAlignment="1">
      <alignment wrapText="1"/>
    </xf>
    <xf numFmtId="178" fontId="54" fillId="0" borderId="19" xfId="112" applyNumberFormat="1" applyFont="1" applyFill="1" applyBorder="1" applyAlignment="1">
      <alignment vertical="center" shrinkToFit="1"/>
    </xf>
    <xf numFmtId="172" fontId="11" fillId="0" borderId="27" xfId="112" applyNumberFormat="1" applyFont="1" applyFill="1" applyBorder="1" applyAlignment="1">
      <alignment vertical="center" wrapText="1"/>
    </xf>
    <xf numFmtId="172" fontId="7" fillId="0" borderId="13" xfId="204" applyNumberFormat="1" applyFont="1" applyBorder="1" applyAlignment="1">
      <alignment horizontal="center" vertical="center" wrapText="1"/>
    </xf>
    <xf numFmtId="172" fontId="7" fillId="0" borderId="33" xfId="112" applyNumberFormat="1" applyFont="1" applyFill="1" applyBorder="1" applyAlignment="1">
      <alignment horizontal="center" vertical="center" shrinkToFit="1"/>
    </xf>
    <xf numFmtId="178" fontId="56" fillId="0" borderId="31" xfId="112" applyNumberFormat="1" applyFont="1" applyFill="1" applyBorder="1" applyAlignment="1">
      <alignment vertical="center" shrinkToFit="1"/>
    </xf>
    <xf numFmtId="172" fontId="7" fillId="0" borderId="0" xfId="112" applyNumberFormat="1" applyFont="1" applyFill="1" applyBorder="1" applyAlignment="1">
      <alignment horizontal="center" vertical="center" shrinkToFit="1"/>
    </xf>
    <xf numFmtId="0" fontId="7" fillId="0" borderId="27" xfId="204" applyFont="1" applyBorder="1" applyAlignment="1">
      <alignment horizontal="center" vertical="center" wrapText="1"/>
    </xf>
    <xf numFmtId="0" fontId="18" fillId="0" borderId="13" xfId="204" applyFont="1" applyBorder="1" applyAlignment="1">
      <alignment horizontal="center" vertical="center" wrapText="1"/>
    </xf>
    <xf numFmtId="0" fontId="18" fillId="0" borderId="13" xfId="204" applyFont="1" applyBorder="1" applyAlignment="1">
      <alignment horizontal="left" vertical="center" wrapText="1"/>
    </xf>
    <xf numFmtId="172" fontId="7" fillId="0" borderId="13" xfId="112" applyNumberFormat="1" applyFont="1" applyFill="1" applyBorder="1" applyAlignment="1">
      <alignment vertical="center"/>
    </xf>
    <xf numFmtId="172" fontId="11" fillId="0" borderId="38" xfId="112" applyNumberFormat="1" applyFont="1" applyFill="1" applyBorder="1" applyAlignment="1">
      <alignment vertical="center" wrapText="1"/>
    </xf>
    <xf numFmtId="172" fontId="6" fillId="0" borderId="27" xfId="112" applyNumberFormat="1" applyFont="1" applyFill="1" applyBorder="1" applyAlignment="1">
      <alignment vertical="center" wrapText="1"/>
    </xf>
    <xf numFmtId="172" fontId="11" fillId="0" borderId="13" xfId="204" applyNumberFormat="1" applyFont="1" applyBorder="1" applyAlignment="1">
      <alignment horizontal="center" vertical="center" wrapText="1"/>
    </xf>
    <xf numFmtId="175" fontId="11" fillId="0" borderId="13" xfId="112" applyNumberFormat="1" applyFont="1" applyFill="1" applyBorder="1" applyAlignment="1">
      <alignment vertical="center" wrapText="1"/>
    </xf>
    <xf numFmtId="0" fontId="11" fillId="0" borderId="13" xfId="204" applyFont="1" applyBorder="1" applyAlignment="1">
      <alignment horizontal="center" vertical="center"/>
    </xf>
    <xf numFmtId="172" fontId="11" fillId="0" borderId="13" xfId="119" applyNumberFormat="1" applyFont="1" applyFill="1" applyBorder="1" applyAlignment="1">
      <alignment vertical="center" wrapText="1"/>
    </xf>
    <xf numFmtId="184" fontId="11" fillId="0" borderId="0" xfId="204" applyNumberFormat="1" applyFont="1" applyAlignment="1">
      <alignment shrinkToFit="1"/>
    </xf>
    <xf numFmtId="0" fontId="25" fillId="0" borderId="0" xfId="204" applyFont="1" applyAlignment="1">
      <alignment horizontal="center"/>
    </xf>
    <xf numFmtId="184" fontId="25" fillId="0" borderId="0" xfId="204" applyNumberFormat="1" applyFont="1" applyAlignment="1">
      <alignment horizontal="center"/>
    </xf>
    <xf numFmtId="0" fontId="24" fillId="0" borderId="0" xfId="204" applyFont="1" applyAlignment="1">
      <alignment horizontal="center"/>
    </xf>
    <xf numFmtId="0" fontId="24" fillId="0" borderId="0" xfId="204" applyFont="1"/>
    <xf numFmtId="184" fontId="25" fillId="0" borderId="0" xfId="204" applyNumberFormat="1" applyFont="1" applyAlignment="1">
      <alignment shrinkToFit="1"/>
    </xf>
    <xf numFmtId="0" fontId="180" fillId="0" borderId="13" xfId="204" quotePrefix="1" applyFont="1" applyBorder="1" applyAlignment="1">
      <alignment horizontal="center" vertical="center" wrapText="1"/>
    </xf>
    <xf numFmtId="0" fontId="180" fillId="0" borderId="13" xfId="204" applyFont="1" applyBorder="1" applyAlignment="1">
      <alignment horizontal="left" vertical="center" wrapText="1"/>
    </xf>
    <xf numFmtId="0" fontId="180" fillId="0" borderId="13" xfId="204" applyFont="1" applyBorder="1" applyAlignment="1">
      <alignment horizontal="center" vertical="center" wrapText="1"/>
    </xf>
    <xf numFmtId="172" fontId="180" fillId="0" borderId="13" xfId="112" applyNumberFormat="1" applyFont="1" applyFill="1" applyBorder="1" applyAlignment="1">
      <alignment vertical="center" wrapText="1"/>
    </xf>
    <xf numFmtId="0" fontId="180" fillId="0" borderId="13" xfId="204" applyFont="1" applyBorder="1"/>
    <xf numFmtId="178" fontId="180" fillId="0" borderId="13" xfId="204" applyNumberFormat="1" applyFont="1" applyBorder="1" applyAlignment="1">
      <alignment vertical="center"/>
    </xf>
    <xf numFmtId="178" fontId="188" fillId="0" borderId="13" xfId="112" applyNumberFormat="1" applyFont="1" applyFill="1" applyBorder="1" applyAlignment="1">
      <alignment vertical="center" shrinkToFit="1"/>
    </xf>
    <xf numFmtId="172" fontId="188" fillId="0" borderId="33" xfId="112" applyNumberFormat="1" applyFont="1" applyFill="1" applyBorder="1" applyAlignment="1">
      <alignment horizontal="center" vertical="center" shrinkToFit="1"/>
    </xf>
    <xf numFmtId="178" fontId="195" fillId="0" borderId="19" xfId="112" applyNumberFormat="1" applyFont="1" applyFill="1" applyBorder="1" applyAlignment="1">
      <alignment vertical="center" shrinkToFit="1"/>
    </xf>
    <xf numFmtId="172" fontId="188" fillId="0" borderId="0" xfId="112" applyNumberFormat="1" applyFont="1" applyFill="1" applyBorder="1" applyAlignment="1">
      <alignment horizontal="center" vertical="center" shrinkToFit="1"/>
    </xf>
    <xf numFmtId="173" fontId="192" fillId="0" borderId="0" xfId="204" applyNumberFormat="1" applyFont="1"/>
    <xf numFmtId="173" fontId="187" fillId="0" borderId="0" xfId="204" applyNumberFormat="1" applyFont="1"/>
    <xf numFmtId="0" fontId="188" fillId="0" borderId="0" xfId="204" applyFont="1"/>
    <xf numFmtId="172" fontId="180" fillId="0" borderId="27" xfId="112" applyNumberFormat="1" applyFont="1" applyFill="1" applyBorder="1" applyAlignment="1">
      <alignment vertical="center" wrapText="1"/>
    </xf>
    <xf numFmtId="0" fontId="180" fillId="0" borderId="0" xfId="204" applyFont="1"/>
    <xf numFmtId="178" fontId="195" fillId="0" borderId="31" xfId="112" applyNumberFormat="1" applyFont="1" applyFill="1" applyBorder="1" applyAlignment="1">
      <alignment vertical="center" shrinkToFit="1"/>
    </xf>
    <xf numFmtId="178" fontId="180" fillId="0" borderId="13" xfId="112" applyNumberFormat="1" applyFont="1" applyFill="1" applyBorder="1" applyAlignment="1">
      <alignment vertical="center" shrinkToFit="1"/>
    </xf>
    <xf numFmtId="185" fontId="188" fillId="0" borderId="0" xfId="204" applyNumberFormat="1" applyFont="1"/>
    <xf numFmtId="172" fontId="180" fillId="0" borderId="33" xfId="112" applyNumberFormat="1" applyFont="1" applyFill="1" applyBorder="1" applyAlignment="1">
      <alignment horizontal="center" vertical="center" shrinkToFit="1"/>
    </xf>
    <xf numFmtId="178" fontId="193" fillId="0" borderId="31" xfId="112" applyNumberFormat="1" applyFont="1" applyFill="1" applyBorder="1" applyAlignment="1">
      <alignment vertical="center" shrinkToFit="1"/>
    </xf>
    <xf numFmtId="172" fontId="180" fillId="0" borderId="0" xfId="112" applyNumberFormat="1" applyFont="1" applyFill="1" applyBorder="1" applyAlignment="1">
      <alignment horizontal="center" vertical="center" shrinkToFit="1"/>
    </xf>
    <xf numFmtId="172" fontId="180" fillId="0" borderId="13" xfId="112" applyNumberFormat="1" applyFont="1" applyFill="1" applyBorder="1" applyAlignment="1">
      <alignment vertical="center"/>
    </xf>
    <xf numFmtId="0" fontId="172" fillId="0" borderId="13" xfId="204" applyFont="1" applyBorder="1" applyAlignment="1">
      <alignment horizontal="center" vertical="center"/>
    </xf>
    <xf numFmtId="0" fontId="172" fillId="0" borderId="13" xfId="204" applyFont="1" applyBorder="1" applyAlignment="1">
      <alignment horizontal="left" vertical="center" wrapText="1"/>
    </xf>
    <xf numFmtId="0" fontId="172" fillId="0" borderId="13" xfId="204" applyFont="1" applyBorder="1" applyAlignment="1">
      <alignment horizontal="center" vertical="center" wrapText="1"/>
    </xf>
    <xf numFmtId="172" fontId="172" fillId="0" borderId="13" xfId="112" applyNumberFormat="1" applyFont="1" applyFill="1" applyBorder="1" applyAlignment="1">
      <alignment vertical="center" wrapText="1"/>
    </xf>
    <xf numFmtId="172" fontId="175" fillId="0" borderId="13" xfId="112" applyNumberFormat="1" applyFont="1" applyFill="1" applyBorder="1" applyAlignment="1">
      <alignment vertical="center" wrapText="1"/>
    </xf>
    <xf numFmtId="178" fontId="172" fillId="0" borderId="13" xfId="112" applyNumberFormat="1" applyFont="1" applyFill="1" applyBorder="1" applyAlignment="1">
      <alignment vertical="center" shrinkToFit="1"/>
    </xf>
    <xf numFmtId="173" fontId="172" fillId="0" borderId="13" xfId="119" applyNumberFormat="1" applyFont="1" applyFill="1" applyBorder="1" applyAlignment="1">
      <alignment vertical="center"/>
    </xf>
    <xf numFmtId="184" fontId="172" fillId="0" borderId="0" xfId="204" applyNumberFormat="1" applyFont="1" applyAlignment="1">
      <alignment shrinkToFit="1"/>
    </xf>
    <xf numFmtId="0" fontId="172" fillId="0" borderId="0" xfId="204" applyFont="1"/>
    <xf numFmtId="173" fontId="175" fillId="0" borderId="0" xfId="204" applyNumberFormat="1" applyFont="1"/>
    <xf numFmtId="173" fontId="178" fillId="0" borderId="0" xfId="204" applyNumberFormat="1" applyFont="1"/>
    <xf numFmtId="0" fontId="172" fillId="0" borderId="13" xfId="204" quotePrefix="1" applyFont="1" applyBorder="1" applyAlignment="1">
      <alignment horizontal="center" vertical="center"/>
    </xf>
    <xf numFmtId="0" fontId="192" fillId="0" borderId="13" xfId="204" applyFont="1" applyBorder="1" applyAlignment="1">
      <alignment horizontal="center" vertical="center"/>
    </xf>
    <xf numFmtId="0" fontId="192" fillId="36" borderId="13" xfId="204" applyFont="1" applyFill="1" applyBorder="1" applyAlignment="1">
      <alignment horizontal="left" vertical="center" wrapText="1"/>
    </xf>
    <xf numFmtId="172" fontId="192" fillId="0" borderId="13" xfId="119" applyNumberFormat="1" applyFont="1" applyFill="1" applyBorder="1" applyAlignment="1">
      <alignment vertical="center" wrapText="1"/>
    </xf>
    <xf numFmtId="172" fontId="192" fillId="0" borderId="27" xfId="119" applyNumberFormat="1" applyFont="1" applyFill="1" applyBorder="1" applyAlignment="1">
      <alignment vertical="center" wrapText="1"/>
    </xf>
    <xf numFmtId="0" fontId="192" fillId="0" borderId="0" xfId="204" applyFont="1"/>
    <xf numFmtId="0" fontId="180" fillId="0" borderId="13" xfId="204" quotePrefix="1" applyFont="1" applyBorder="1" applyAlignment="1">
      <alignment horizontal="center" vertical="center"/>
    </xf>
    <xf numFmtId="0" fontId="180" fillId="0" borderId="13" xfId="204" applyFont="1" applyBorder="1" applyAlignment="1">
      <alignment horizontal="center" vertical="center"/>
    </xf>
    <xf numFmtId="172" fontId="180" fillId="0" borderId="13" xfId="119" applyNumberFormat="1" applyFont="1" applyFill="1" applyBorder="1" applyAlignment="1">
      <alignment vertical="center" wrapText="1"/>
    </xf>
    <xf numFmtId="172" fontId="192" fillId="0" borderId="13" xfId="112" applyNumberFormat="1" applyFont="1" applyFill="1" applyBorder="1" applyAlignment="1">
      <alignment vertical="center" wrapText="1"/>
    </xf>
    <xf numFmtId="173" fontId="180" fillId="0" borderId="13" xfId="119" applyNumberFormat="1" applyFont="1" applyFill="1" applyBorder="1" applyAlignment="1">
      <alignment vertical="center"/>
    </xf>
    <xf numFmtId="184" fontId="180" fillId="0" borderId="0" xfId="204" applyNumberFormat="1" applyFont="1" applyAlignment="1">
      <alignment shrinkToFit="1"/>
    </xf>
    <xf numFmtId="0" fontId="198" fillId="0" borderId="0" xfId="226" applyFont="1"/>
    <xf numFmtId="0" fontId="6" fillId="0" borderId="13" xfId="226" applyFont="1" applyBorder="1" applyAlignment="1">
      <alignment horizontal="center" vertical="center" wrapText="1"/>
    </xf>
    <xf numFmtId="0" fontId="6" fillId="0" borderId="3" xfId="226" applyFont="1" applyBorder="1" applyAlignment="1">
      <alignment horizontal="center" vertical="center" wrapText="1"/>
    </xf>
    <xf numFmtId="0" fontId="181" fillId="0" borderId="0" xfId="226" applyFont="1"/>
    <xf numFmtId="178" fontId="181" fillId="0" borderId="0" xfId="226" applyNumberFormat="1" applyFont="1"/>
    <xf numFmtId="0" fontId="6" fillId="0" borderId="35" xfId="226" applyFont="1" applyBorder="1" applyAlignment="1">
      <alignment horizontal="center" vertical="center" wrapText="1"/>
    </xf>
    <xf numFmtId="178" fontId="183" fillId="0" borderId="0" xfId="226" applyNumberFormat="1" applyFont="1" applyAlignment="1">
      <alignment horizontal="right"/>
    </xf>
    <xf numFmtId="178" fontId="181" fillId="0" borderId="0" xfId="226" applyNumberFormat="1" applyFont="1" applyAlignment="1">
      <alignment horizontal="right" vertical="center" wrapText="1"/>
    </xf>
    <xf numFmtId="0" fontId="17" fillId="0" borderId="13" xfId="226" applyFont="1" applyBorder="1" applyAlignment="1">
      <alignment horizontal="center" vertical="center" wrapText="1"/>
    </xf>
    <xf numFmtId="0" fontId="199" fillId="0" borderId="0" xfId="226" applyFont="1"/>
    <xf numFmtId="178" fontId="199" fillId="0" borderId="0" xfId="226" applyNumberFormat="1" applyFont="1"/>
    <xf numFmtId="178" fontId="199" fillId="0" borderId="0" xfId="226" applyNumberFormat="1" applyFont="1" applyAlignment="1">
      <alignment horizontal="right"/>
    </xf>
    <xf numFmtId="178" fontId="199" fillId="0" borderId="0" xfId="226" applyNumberFormat="1" applyFont="1" applyAlignment="1">
      <alignment horizontal="right" vertical="center" wrapText="1"/>
    </xf>
    <xf numFmtId="185" fontId="7" fillId="0" borderId="13" xfId="226" applyNumberFormat="1" applyFont="1" applyBorder="1" applyAlignment="1">
      <alignment horizontal="center" vertical="center" wrapText="1"/>
    </xf>
    <xf numFmtId="172" fontId="6" fillId="0" borderId="13" xfId="125" applyNumberFormat="1" applyFont="1" applyFill="1" applyBorder="1" applyAlignment="1">
      <alignment horizontal="center" vertical="center" wrapText="1"/>
    </xf>
    <xf numFmtId="1" fontId="6" fillId="0" borderId="13" xfId="125" applyNumberFormat="1" applyFont="1" applyFill="1" applyBorder="1" applyAlignment="1">
      <alignment horizontal="center" vertical="center" wrapText="1"/>
    </xf>
    <xf numFmtId="172" fontId="6" fillId="0" borderId="13" xfId="125" applyNumberFormat="1" applyFont="1" applyFill="1" applyBorder="1" applyAlignment="1">
      <alignment horizontal="right" vertical="center" wrapText="1"/>
    </xf>
    <xf numFmtId="185" fontId="181" fillId="0" borderId="0" xfId="226" applyNumberFormat="1" applyFont="1"/>
    <xf numFmtId="0" fontId="6" fillId="0" borderId="13" xfId="226" quotePrefix="1" applyFont="1" applyBorder="1" applyAlignment="1">
      <alignment horizontal="center" vertical="center" wrapText="1"/>
    </xf>
    <xf numFmtId="0" fontId="6" fillId="0" borderId="13" xfId="226" applyFont="1" applyBorder="1" applyAlignment="1">
      <alignment vertical="center" wrapText="1"/>
    </xf>
    <xf numFmtId="185" fontId="6" fillId="0" borderId="13" xfId="226" applyNumberFormat="1" applyFont="1" applyBorder="1" applyAlignment="1">
      <alignment horizontal="center" vertical="center" wrapText="1"/>
    </xf>
    <xf numFmtId="185" fontId="6" fillId="0" borderId="13" xfId="226" applyNumberFormat="1" applyFont="1" applyBorder="1" applyAlignment="1">
      <alignment vertical="center" wrapText="1"/>
    </xf>
    <xf numFmtId="172" fontId="6" fillId="0" borderId="13" xfId="226" applyNumberFormat="1" applyFont="1" applyBorder="1" applyAlignment="1">
      <alignment horizontal="right" vertical="center" wrapText="1"/>
    </xf>
    <xf numFmtId="186" fontId="6" fillId="0" borderId="13" xfId="226" applyNumberFormat="1" applyFont="1" applyBorder="1" applyAlignment="1">
      <alignment horizontal="center" vertical="center" wrapText="1"/>
    </xf>
    <xf numFmtId="0" fontId="18" fillId="0" borderId="13" xfId="226" quotePrefix="1" applyFont="1" applyBorder="1" applyAlignment="1">
      <alignment horizontal="center" vertical="center" wrapText="1"/>
    </xf>
    <xf numFmtId="186" fontId="18" fillId="0" borderId="13" xfId="226" applyNumberFormat="1" applyFont="1" applyBorder="1" applyAlignment="1">
      <alignment horizontal="center" vertical="center" wrapText="1"/>
    </xf>
    <xf numFmtId="185" fontId="18" fillId="0" borderId="13" xfId="226" applyNumberFormat="1" applyFont="1" applyBorder="1" applyAlignment="1">
      <alignment horizontal="center" vertical="center" wrapText="1"/>
    </xf>
    <xf numFmtId="172" fontId="18" fillId="0" borderId="13" xfId="226" applyNumberFormat="1" applyFont="1" applyBorder="1" applyAlignment="1">
      <alignment horizontal="right" vertical="center" wrapText="1"/>
    </xf>
    <xf numFmtId="0" fontId="182" fillId="0" borderId="0" xfId="226" applyFont="1"/>
    <xf numFmtId="0" fontId="7" fillId="0" borderId="13" xfId="226" applyFont="1" applyBorder="1" applyAlignment="1">
      <alignment horizontal="center" vertical="center" wrapText="1"/>
    </xf>
    <xf numFmtId="0" fontId="7" fillId="0" borderId="13" xfId="226" applyFont="1" applyBorder="1" applyAlignment="1">
      <alignment vertical="center" wrapText="1"/>
    </xf>
    <xf numFmtId="186" fontId="7" fillId="0" borderId="13" xfId="226" applyNumberFormat="1" applyFont="1" applyBorder="1" applyAlignment="1">
      <alignment horizontal="center" vertical="center" wrapText="1"/>
    </xf>
    <xf numFmtId="172" fontId="7" fillId="0" borderId="13" xfId="226" applyNumberFormat="1" applyFont="1" applyBorder="1" applyAlignment="1">
      <alignment horizontal="center" vertical="center" wrapText="1"/>
    </xf>
    <xf numFmtId="172" fontId="7" fillId="0" borderId="13" xfId="226" applyNumberFormat="1" applyFont="1" applyBorder="1" applyAlignment="1">
      <alignment horizontal="right" vertical="center" wrapText="1"/>
    </xf>
    <xf numFmtId="0" fontId="183" fillId="0" borderId="0" xfId="226" applyFont="1"/>
    <xf numFmtId="0" fontId="18" fillId="0" borderId="13" xfId="226" applyFont="1" applyBorder="1" applyAlignment="1">
      <alignment horizontal="center" vertical="center" wrapText="1"/>
    </xf>
    <xf numFmtId="0" fontId="18" fillId="0" borderId="13" xfId="226" applyFont="1" applyBorder="1" applyAlignment="1">
      <alignment vertical="center" wrapText="1"/>
    </xf>
    <xf numFmtId="172" fontId="18" fillId="0" borderId="13" xfId="226" applyNumberFormat="1" applyFont="1" applyBorder="1" applyAlignment="1">
      <alignment horizontal="center" vertical="center" wrapText="1"/>
    </xf>
    <xf numFmtId="1" fontId="6" fillId="0" borderId="13" xfId="125" applyNumberFormat="1" applyFont="1" applyFill="1" applyBorder="1" applyAlignment="1">
      <alignment horizontal="right" vertical="center" wrapText="1"/>
    </xf>
    <xf numFmtId="185" fontId="182" fillId="0" borderId="0" xfId="226" applyNumberFormat="1" applyFont="1"/>
    <xf numFmtId="178" fontId="182" fillId="0" borderId="0" xfId="226" applyNumberFormat="1" applyFont="1"/>
    <xf numFmtId="178" fontId="182" fillId="0" borderId="0" xfId="226" applyNumberFormat="1" applyFont="1" applyAlignment="1">
      <alignment horizontal="right"/>
    </xf>
    <xf numFmtId="178" fontId="182" fillId="0" borderId="0" xfId="226" applyNumberFormat="1" applyFont="1" applyAlignment="1">
      <alignment horizontal="right" vertical="center" wrapText="1"/>
    </xf>
    <xf numFmtId="0" fontId="7" fillId="0" borderId="13" xfId="226" applyFont="1" applyBorder="1" applyAlignment="1">
      <alignment horizontal="justify" vertical="center" wrapText="1"/>
    </xf>
    <xf numFmtId="173" fontId="7" fillId="0" borderId="13" xfId="226" applyNumberFormat="1" applyFont="1" applyBorder="1" applyAlignment="1">
      <alignment horizontal="center" vertical="center" wrapText="1"/>
    </xf>
    <xf numFmtId="185" fontId="183" fillId="0" borderId="0" xfId="226" applyNumberFormat="1" applyFont="1"/>
    <xf numFmtId="0" fontId="7" fillId="0" borderId="13" xfId="226" quotePrefix="1" applyFont="1" applyBorder="1" applyAlignment="1">
      <alignment horizontal="center" vertical="center" wrapText="1"/>
    </xf>
    <xf numFmtId="178" fontId="183" fillId="0" borderId="0" xfId="226" applyNumberFormat="1" applyFont="1"/>
    <xf numFmtId="0" fontId="183" fillId="0" borderId="0" xfId="226" applyFont="1" applyAlignment="1">
      <alignment horizontal="center" vertical="center"/>
    </xf>
    <xf numFmtId="0" fontId="7" fillId="0" borderId="0" xfId="226" applyFont="1"/>
    <xf numFmtId="0" fontId="183" fillId="0" borderId="13" xfId="226" applyFont="1" applyBorder="1" applyAlignment="1">
      <alignment horizontal="center" vertical="center" wrapText="1"/>
    </xf>
    <xf numFmtId="0" fontId="183" fillId="0" borderId="13" xfId="226" applyFont="1" applyBorder="1" applyAlignment="1">
      <alignment horizontal="justify" vertical="center" wrapText="1"/>
    </xf>
    <xf numFmtId="186" fontId="183" fillId="0" borderId="13" xfId="226" applyNumberFormat="1" applyFont="1" applyBorder="1" applyAlignment="1">
      <alignment horizontal="center" vertical="center" wrapText="1"/>
    </xf>
    <xf numFmtId="172" fontId="183" fillId="0" borderId="13" xfId="226" applyNumberFormat="1" applyFont="1" applyBorder="1" applyAlignment="1">
      <alignment horizontal="center" vertical="center" wrapText="1"/>
    </xf>
    <xf numFmtId="172" fontId="183" fillId="0" borderId="13" xfId="226" applyNumberFormat="1" applyFont="1" applyBorder="1" applyAlignment="1">
      <alignment horizontal="right" vertical="center" wrapText="1"/>
    </xf>
    <xf numFmtId="172" fontId="200" fillId="0" borderId="13" xfId="226" applyNumberFormat="1" applyFont="1" applyBorder="1" applyAlignment="1">
      <alignment horizontal="center" vertical="center" wrapText="1"/>
    </xf>
    <xf numFmtId="0" fontId="18" fillId="0" borderId="13" xfId="226" applyFont="1" applyBorder="1" applyAlignment="1">
      <alignment horizontal="justify" vertical="center" wrapText="1"/>
    </xf>
    <xf numFmtId="173" fontId="18" fillId="0" borderId="13" xfId="226" applyNumberFormat="1" applyFont="1" applyBorder="1" applyAlignment="1">
      <alignment horizontal="center" vertical="center" wrapText="1"/>
    </xf>
    <xf numFmtId="178" fontId="183" fillId="0" borderId="0" xfId="226" applyNumberFormat="1" applyFont="1" applyAlignment="1">
      <alignment horizontal="right" vertical="center" wrapText="1"/>
    </xf>
    <xf numFmtId="0" fontId="181" fillId="0" borderId="0" xfId="226" applyFont="1" applyAlignment="1">
      <alignment horizontal="center" vertical="center"/>
    </xf>
    <xf numFmtId="3" fontId="7" fillId="0" borderId="13" xfId="226" applyNumberFormat="1" applyFont="1" applyBorder="1" applyAlignment="1">
      <alignment horizontal="justify" vertical="center" wrapText="1"/>
    </xf>
    <xf numFmtId="0" fontId="172" fillId="0" borderId="0" xfId="226" applyFont="1"/>
    <xf numFmtId="0" fontId="172" fillId="0" borderId="13" xfId="226" applyFont="1" applyBorder="1" applyAlignment="1">
      <alignment horizontal="center" vertical="center" wrapText="1"/>
    </xf>
    <xf numFmtId="3" fontId="172" fillId="0" borderId="13" xfId="226" applyNumberFormat="1" applyFont="1" applyBorder="1" applyAlignment="1">
      <alignment horizontal="justify" vertical="center" wrapText="1"/>
    </xf>
    <xf numFmtId="186" fontId="172" fillId="0" borderId="13" xfId="226" applyNumberFormat="1" applyFont="1" applyBorder="1" applyAlignment="1">
      <alignment horizontal="center" vertical="center" wrapText="1"/>
    </xf>
    <xf numFmtId="185" fontId="172" fillId="0" borderId="13" xfId="226" applyNumberFormat="1" applyFont="1" applyBorder="1" applyAlignment="1">
      <alignment horizontal="center" vertical="center" wrapText="1"/>
    </xf>
    <xf numFmtId="172" fontId="172" fillId="0" borderId="13" xfId="226" applyNumberFormat="1" applyFont="1" applyBorder="1" applyAlignment="1">
      <alignment horizontal="center" vertical="center" wrapText="1"/>
    </xf>
    <xf numFmtId="173" fontId="172" fillId="0" borderId="13" xfId="226" applyNumberFormat="1" applyFont="1" applyBorder="1" applyAlignment="1">
      <alignment horizontal="center" vertical="center" wrapText="1"/>
    </xf>
    <xf numFmtId="172" fontId="172" fillId="0" borderId="13" xfId="226" applyNumberFormat="1" applyFont="1" applyBorder="1" applyAlignment="1">
      <alignment horizontal="right" vertical="center" wrapText="1"/>
    </xf>
    <xf numFmtId="3" fontId="18" fillId="0" borderId="13" xfId="226" applyNumberFormat="1" applyFont="1" applyBorder="1" applyAlignment="1">
      <alignment horizontal="justify" vertical="center" wrapText="1"/>
    </xf>
    <xf numFmtId="0" fontId="178" fillId="0" borderId="0" xfId="226" applyFont="1"/>
    <xf numFmtId="0" fontId="172" fillId="0" borderId="13" xfId="226" applyFont="1" applyBorder="1" applyAlignment="1">
      <alignment horizontal="justify" vertical="center" wrapText="1"/>
    </xf>
    <xf numFmtId="172" fontId="6" fillId="0" borderId="13" xfId="226" applyNumberFormat="1" applyFont="1" applyBorder="1" applyAlignment="1">
      <alignment horizontal="center" vertical="center" wrapText="1"/>
    </xf>
    <xf numFmtId="1" fontId="6" fillId="0" borderId="13" xfId="226" applyNumberFormat="1" applyFont="1" applyBorder="1" applyAlignment="1">
      <alignment horizontal="center" vertical="center" wrapText="1"/>
    </xf>
    <xf numFmtId="178" fontId="181" fillId="0" borderId="0" xfId="226" applyNumberFormat="1" applyFont="1" applyAlignment="1">
      <alignment horizontal="right"/>
    </xf>
    <xf numFmtId="0" fontId="6" fillId="0" borderId="13" xfId="226" applyFont="1" applyBorder="1" applyAlignment="1">
      <alignment horizontal="justify" vertical="center" wrapText="1"/>
    </xf>
    <xf numFmtId="1" fontId="18" fillId="0" borderId="13" xfId="226" applyNumberFormat="1" applyFont="1" applyBorder="1" applyAlignment="1">
      <alignment horizontal="center" vertical="center" wrapText="1"/>
    </xf>
    <xf numFmtId="1" fontId="18" fillId="0" borderId="13" xfId="226" applyNumberFormat="1" applyFont="1" applyBorder="1" applyAlignment="1">
      <alignment horizontal="justify" vertical="center" wrapText="1"/>
    </xf>
    <xf numFmtId="0" fontId="182" fillId="0" borderId="0" xfId="226" applyFont="1" applyAlignment="1">
      <alignment horizontal="center" vertical="center"/>
    </xf>
    <xf numFmtId="0" fontId="182" fillId="0" borderId="13" xfId="226" applyFont="1" applyBorder="1" applyAlignment="1">
      <alignment horizontal="center" vertical="center" wrapText="1"/>
    </xf>
    <xf numFmtId="0" fontId="182" fillId="0" borderId="13" xfId="226" applyFont="1" applyBorder="1" applyAlignment="1">
      <alignment horizontal="justify" vertical="center" wrapText="1"/>
    </xf>
    <xf numFmtId="186" fontId="182" fillId="0" borderId="13" xfId="226" applyNumberFormat="1" applyFont="1" applyBorder="1" applyAlignment="1">
      <alignment horizontal="center" vertical="center" wrapText="1"/>
    </xf>
    <xf numFmtId="172" fontId="182" fillId="0" borderId="13" xfId="226" applyNumberFormat="1" applyFont="1" applyBorder="1" applyAlignment="1">
      <alignment horizontal="center" vertical="center" wrapText="1"/>
    </xf>
    <xf numFmtId="1" fontId="182" fillId="0" borderId="13" xfId="226" applyNumberFormat="1" applyFont="1" applyBorder="1" applyAlignment="1">
      <alignment horizontal="center" vertical="center" wrapText="1"/>
    </xf>
    <xf numFmtId="172" fontId="182" fillId="0" borderId="13" xfId="226" applyNumberFormat="1" applyFont="1" applyBorder="1" applyAlignment="1">
      <alignment horizontal="right" vertical="center" wrapText="1"/>
    </xf>
    <xf numFmtId="0" fontId="181" fillId="0" borderId="13" xfId="226" applyFont="1" applyBorder="1" applyAlignment="1">
      <alignment horizontal="center" vertical="center" wrapText="1"/>
    </xf>
    <xf numFmtId="0" fontId="181" fillId="0" borderId="13" xfId="226" applyFont="1" applyBorder="1" applyAlignment="1">
      <alignment horizontal="justify" vertical="center" wrapText="1"/>
    </xf>
    <xf numFmtId="186" fontId="181" fillId="0" borderId="13" xfId="226" applyNumberFormat="1" applyFont="1" applyBorder="1" applyAlignment="1">
      <alignment horizontal="center" vertical="center" wrapText="1"/>
    </xf>
    <xf numFmtId="172" fontId="181" fillId="0" borderId="13" xfId="226" applyNumberFormat="1" applyFont="1" applyBorder="1" applyAlignment="1">
      <alignment horizontal="center" vertical="center" wrapText="1"/>
    </xf>
    <xf numFmtId="1" fontId="181" fillId="0" borderId="13" xfId="226" applyNumberFormat="1" applyFont="1" applyBorder="1" applyAlignment="1">
      <alignment horizontal="center" vertical="center" wrapText="1"/>
    </xf>
    <xf numFmtId="172" fontId="181" fillId="0" borderId="13" xfId="226" applyNumberFormat="1" applyFont="1" applyBorder="1" applyAlignment="1">
      <alignment horizontal="right" vertical="center" wrapText="1"/>
    </xf>
    <xf numFmtId="0" fontId="18" fillId="0" borderId="0" xfId="226" applyFont="1"/>
    <xf numFmtId="1" fontId="182" fillId="0" borderId="0" xfId="226" applyNumberFormat="1" applyFont="1"/>
    <xf numFmtId="0" fontId="183" fillId="0" borderId="0" xfId="226" applyFont="1" applyAlignment="1">
      <alignment horizontal="center" vertical="center" wrapText="1"/>
    </xf>
    <xf numFmtId="0" fontId="183" fillId="0" borderId="0" xfId="226" applyFont="1" applyAlignment="1">
      <alignment vertical="center" wrapText="1"/>
    </xf>
    <xf numFmtId="186" fontId="183" fillId="0" borderId="0" xfId="226" applyNumberFormat="1" applyFont="1" applyAlignment="1">
      <alignment horizontal="center" vertical="center" wrapText="1"/>
    </xf>
    <xf numFmtId="172" fontId="183" fillId="0" borderId="0" xfId="226" applyNumberFormat="1" applyFont="1" applyAlignment="1">
      <alignment horizontal="center" vertical="center" wrapText="1"/>
    </xf>
    <xf numFmtId="0" fontId="201" fillId="0" borderId="0" xfId="226" applyFont="1"/>
    <xf numFmtId="0" fontId="201" fillId="0" borderId="0" xfId="226" applyFont="1" applyAlignment="1">
      <alignment horizontal="center"/>
    </xf>
    <xf numFmtId="178" fontId="201" fillId="0" borderId="13" xfId="226" applyNumberFormat="1" applyFont="1" applyBorder="1"/>
    <xf numFmtId="178" fontId="201" fillId="0" borderId="0" xfId="226" applyNumberFormat="1" applyFont="1"/>
    <xf numFmtId="178" fontId="198" fillId="0" borderId="13" xfId="226" applyNumberFormat="1" applyFont="1" applyBorder="1" applyAlignment="1">
      <alignment horizontal="right"/>
    </xf>
    <xf numFmtId="178" fontId="181" fillId="0" borderId="13" xfId="226" applyNumberFormat="1" applyFont="1" applyBorder="1" applyAlignment="1">
      <alignment horizontal="right" vertical="center" wrapText="1"/>
    </xf>
    <xf numFmtId="0" fontId="201" fillId="0" borderId="13" xfId="226" applyFont="1" applyBorder="1"/>
    <xf numFmtId="0" fontId="178" fillId="0" borderId="13" xfId="226" applyFont="1" applyBorder="1" applyAlignment="1">
      <alignment horizontal="center" vertical="center" wrapText="1"/>
    </xf>
    <xf numFmtId="0" fontId="178" fillId="0" borderId="13" xfId="226" applyFont="1" applyBorder="1" applyAlignment="1">
      <alignment horizontal="justify" vertical="center" wrapText="1"/>
    </xf>
    <xf numFmtId="186" fontId="178" fillId="0" borderId="13" xfId="226" applyNumberFormat="1" applyFont="1" applyBorder="1" applyAlignment="1">
      <alignment horizontal="center" vertical="center" wrapText="1"/>
    </xf>
    <xf numFmtId="172" fontId="178" fillId="0" borderId="13" xfId="226" applyNumberFormat="1" applyFont="1" applyBorder="1" applyAlignment="1">
      <alignment horizontal="center" vertical="center" wrapText="1"/>
    </xf>
    <xf numFmtId="1" fontId="178" fillId="0" borderId="13" xfId="226" applyNumberFormat="1" applyFont="1" applyBorder="1" applyAlignment="1">
      <alignment horizontal="center" vertical="center" wrapText="1"/>
    </xf>
    <xf numFmtId="172" fontId="176" fillId="0" borderId="13" xfId="226" applyNumberFormat="1" applyFont="1" applyBorder="1" applyAlignment="1">
      <alignment horizontal="right" vertical="center" wrapText="1"/>
    </xf>
    <xf numFmtId="178" fontId="176" fillId="0" borderId="0" xfId="226" applyNumberFormat="1" applyFont="1"/>
    <xf numFmtId="178" fontId="176" fillId="0" borderId="0" xfId="226" applyNumberFormat="1" applyFont="1" applyAlignment="1">
      <alignment horizontal="right" vertical="center" wrapText="1"/>
    </xf>
    <xf numFmtId="185" fontId="172" fillId="0" borderId="0" xfId="226" applyNumberFormat="1" applyFont="1"/>
    <xf numFmtId="172" fontId="178" fillId="0" borderId="13" xfId="226" applyNumberFormat="1" applyFont="1" applyBorder="1" applyAlignment="1">
      <alignment horizontal="right" vertical="center" wrapText="1"/>
    </xf>
    <xf numFmtId="178" fontId="178" fillId="0" borderId="0" xfId="226" applyNumberFormat="1" applyFont="1"/>
    <xf numFmtId="178" fontId="178" fillId="0" borderId="0" xfId="226" applyNumberFormat="1" applyFont="1" applyAlignment="1">
      <alignment horizontal="right" vertical="center" wrapText="1"/>
    </xf>
    <xf numFmtId="178" fontId="172" fillId="0" borderId="0" xfId="226" applyNumberFormat="1" applyFont="1"/>
    <xf numFmtId="178" fontId="172" fillId="0" borderId="0" xfId="226" applyNumberFormat="1" applyFont="1" applyAlignment="1">
      <alignment horizontal="right" vertical="center" wrapText="1"/>
    </xf>
    <xf numFmtId="0" fontId="172" fillId="0" borderId="13" xfId="226" quotePrefix="1" applyFont="1" applyBorder="1" applyAlignment="1">
      <alignment horizontal="center" vertical="center" wrapText="1"/>
    </xf>
    <xf numFmtId="0" fontId="176" fillId="0" borderId="0" xfId="226" applyFont="1"/>
    <xf numFmtId="0" fontId="176" fillId="0" borderId="0" xfId="226" applyFont="1" applyAlignment="1">
      <alignment horizontal="center" vertical="center"/>
    </xf>
    <xf numFmtId="0" fontId="172" fillId="0" borderId="0" xfId="226" applyFont="1" applyAlignment="1">
      <alignment horizontal="center" vertical="center"/>
    </xf>
    <xf numFmtId="172" fontId="175" fillId="0" borderId="13" xfId="226" applyNumberFormat="1" applyFont="1" applyBorder="1" applyAlignment="1">
      <alignment horizontal="center" vertical="center" wrapText="1"/>
    </xf>
    <xf numFmtId="172" fontId="11" fillId="0" borderId="13" xfId="226" applyNumberFormat="1" applyFont="1" applyBorder="1" applyAlignment="1">
      <alignment horizontal="center" vertical="center" wrapText="1"/>
    </xf>
    <xf numFmtId="185" fontId="7" fillId="0" borderId="0" xfId="226" applyNumberFormat="1" applyFont="1"/>
    <xf numFmtId="0" fontId="202" fillId="0" borderId="0" xfId="0" applyFont="1" applyAlignment="1">
      <alignment horizontal="right" wrapText="1"/>
    </xf>
    <xf numFmtId="0" fontId="202" fillId="0" borderId="0" xfId="0" applyFont="1" applyAlignment="1">
      <alignment horizontal="center" wrapText="1"/>
    </xf>
    <xf numFmtId="0" fontId="202" fillId="0" borderId="0" xfId="0" applyFont="1" applyAlignment="1">
      <alignment horizontal="center"/>
    </xf>
    <xf numFmtId="0" fontId="202" fillId="0" borderId="0" xfId="0" applyFont="1"/>
    <xf numFmtId="0" fontId="203" fillId="0" borderId="0" xfId="0" applyFont="1" applyAlignment="1">
      <alignment horizontal="right" vertical="center"/>
    </xf>
    <xf numFmtId="0" fontId="204" fillId="0" borderId="0" xfId="0" applyFont="1"/>
    <xf numFmtId="169" fontId="205" fillId="0" borderId="0" xfId="0" applyNumberFormat="1" applyFont="1" applyAlignment="1">
      <alignment horizontal="center" vertical="center" wrapText="1"/>
    </xf>
    <xf numFmtId="0" fontId="206" fillId="0" borderId="0" xfId="0" applyFont="1" applyAlignment="1">
      <alignment horizontal="center" vertical="center"/>
    </xf>
    <xf numFmtId="0" fontId="207" fillId="0" borderId="0" xfId="0" applyFont="1" applyAlignment="1">
      <alignment horizontal="center" vertical="center"/>
    </xf>
    <xf numFmtId="0" fontId="202" fillId="0" borderId="24" xfId="0" applyFont="1" applyBorder="1" applyAlignment="1">
      <alignment horizontal="center"/>
    </xf>
    <xf numFmtId="0" fontId="202" fillId="0" borderId="24" xfId="0" applyFont="1" applyBorder="1"/>
    <xf numFmtId="0" fontId="202" fillId="0" borderId="24" xfId="0" applyFont="1" applyBorder="1" applyAlignment="1">
      <alignment horizontal="right"/>
    </xf>
    <xf numFmtId="0" fontId="208" fillId="0" borderId="24" xfId="0" applyFont="1" applyBorder="1" applyAlignment="1">
      <alignment vertical="center"/>
    </xf>
    <xf numFmtId="0" fontId="209" fillId="0" borderId="0" xfId="0" applyFont="1" applyAlignment="1">
      <alignment horizontal="center" vertical="center"/>
    </xf>
    <xf numFmtId="0" fontId="210" fillId="0" borderId="0" xfId="0" applyFont="1" applyAlignment="1">
      <alignment horizontal="center" vertical="center" wrapText="1"/>
    </xf>
    <xf numFmtId="0" fontId="211" fillId="0" borderId="0" xfId="0" applyFont="1"/>
    <xf numFmtId="0" fontId="212" fillId="0" borderId="0" xfId="0" applyFont="1"/>
    <xf numFmtId="0" fontId="211" fillId="0" borderId="0" xfId="0" applyFont="1" applyAlignment="1">
      <alignment horizontal="center" vertical="center" wrapText="1"/>
    </xf>
    <xf numFmtId="0" fontId="208" fillId="0" borderId="13" xfId="0" applyFont="1" applyBorder="1" applyAlignment="1">
      <alignment horizontal="center" vertical="center"/>
    </xf>
    <xf numFmtId="0" fontId="208" fillId="0" borderId="13" xfId="0" quotePrefix="1" applyFont="1" applyBorder="1" applyAlignment="1">
      <alignment horizontal="center" vertical="center"/>
    </xf>
    <xf numFmtId="0" fontId="208" fillId="36" borderId="13" xfId="0" quotePrefix="1" applyFont="1" applyFill="1" applyBorder="1" applyAlignment="1">
      <alignment horizontal="center" vertical="center"/>
    </xf>
    <xf numFmtId="0" fontId="209" fillId="0" borderId="0" xfId="0" quotePrefix="1" applyFont="1" applyAlignment="1">
      <alignment horizontal="center" vertical="center"/>
    </xf>
    <xf numFmtId="0" fontId="213" fillId="0" borderId="0" xfId="0" applyFont="1"/>
    <xf numFmtId="0" fontId="214" fillId="0" borderId="0" xfId="0" applyFont="1"/>
    <xf numFmtId="0" fontId="215" fillId="0" borderId="13" xfId="0" applyFont="1" applyBorder="1" applyAlignment="1">
      <alignment horizontal="center" vertical="center" wrapText="1"/>
    </xf>
    <xf numFmtId="0" fontId="215" fillId="0" borderId="13" xfId="0" applyFont="1" applyBorder="1" applyAlignment="1">
      <alignment horizontal="right" vertical="center" wrapText="1"/>
    </xf>
    <xf numFmtId="169" fontId="215" fillId="0" borderId="13" xfId="0" applyNumberFormat="1" applyFont="1" applyBorder="1" applyAlignment="1">
      <alignment horizontal="right" vertical="center" wrapText="1"/>
    </xf>
    <xf numFmtId="169" fontId="215" fillId="36" borderId="13" xfId="0" applyNumberFormat="1" applyFont="1" applyFill="1" applyBorder="1" applyAlignment="1">
      <alignment horizontal="right" vertical="center" wrapText="1"/>
    </xf>
    <xf numFmtId="169" fontId="216" fillId="0" borderId="0" xfId="0" applyNumberFormat="1" applyFont="1" applyAlignment="1">
      <alignment horizontal="right" vertical="center" wrapText="1"/>
    </xf>
    <xf numFmtId="173" fontId="205" fillId="0" borderId="0" xfId="0" applyNumberFormat="1" applyFont="1"/>
    <xf numFmtId="173" fontId="211" fillId="0" borderId="0" xfId="0" applyNumberFormat="1" applyFont="1" applyAlignment="1">
      <alignment horizontal="center" vertical="center" wrapText="1"/>
    </xf>
    <xf numFmtId="173" fontId="211" fillId="0" borderId="0" xfId="0" applyNumberFormat="1" applyFont="1"/>
    <xf numFmtId="169" fontId="204" fillId="0" borderId="0" xfId="0" applyNumberFormat="1" applyFont="1"/>
    <xf numFmtId="169" fontId="211" fillId="0" borderId="0" xfId="0" applyNumberFormat="1" applyFont="1"/>
    <xf numFmtId="0" fontId="215" fillId="36" borderId="13" xfId="0" applyFont="1" applyFill="1" applyBorder="1" applyAlignment="1">
      <alignment horizontal="center" vertical="center" wrapText="1"/>
    </xf>
    <xf numFmtId="0" fontId="215" fillId="36" borderId="13" xfId="0" applyFont="1" applyFill="1" applyBorder="1" applyAlignment="1">
      <alignment horizontal="left" vertical="center" wrapText="1"/>
    </xf>
    <xf numFmtId="0" fontId="215" fillId="36" borderId="13" xfId="0" applyFont="1" applyFill="1" applyBorder="1" applyAlignment="1">
      <alignment horizontal="right" vertical="center" wrapText="1"/>
    </xf>
    <xf numFmtId="0" fontId="210" fillId="36" borderId="0" xfId="0" applyFont="1" applyFill="1" applyAlignment="1">
      <alignment horizontal="right" vertical="center" wrapText="1"/>
    </xf>
    <xf numFmtId="173" fontId="211" fillId="36" borderId="0" xfId="0" applyNumberFormat="1" applyFont="1" applyFill="1"/>
    <xf numFmtId="169" fontId="205" fillId="36" borderId="0" xfId="0" applyNumberFormat="1" applyFont="1" applyFill="1" applyAlignment="1">
      <alignment horizontal="center" vertical="center" wrapText="1"/>
    </xf>
    <xf numFmtId="173" fontId="211" fillId="36" borderId="0" xfId="0" applyNumberFormat="1" applyFont="1" applyFill="1" applyAlignment="1">
      <alignment horizontal="center" vertical="center" wrapText="1"/>
    </xf>
    <xf numFmtId="0" fontId="204" fillId="36" borderId="0" xfId="0" applyFont="1" applyFill="1"/>
    <xf numFmtId="169" fontId="211" fillId="36" borderId="0" xfId="0" applyNumberFormat="1" applyFont="1" applyFill="1"/>
    <xf numFmtId="169" fontId="210" fillId="36" borderId="0" xfId="0" applyNumberFormat="1" applyFont="1" applyFill="1" applyAlignment="1">
      <alignment horizontal="center" vertical="center" wrapText="1"/>
    </xf>
    <xf numFmtId="0" fontId="217" fillId="0" borderId="13" xfId="0" applyFont="1" applyBorder="1" applyAlignment="1">
      <alignment horizontal="center" vertical="center" wrapText="1"/>
    </xf>
    <xf numFmtId="0" fontId="217" fillId="0" borderId="13" xfId="0" applyFont="1" applyBorder="1" applyAlignment="1">
      <alignment horizontal="left" vertical="center" wrapText="1"/>
    </xf>
    <xf numFmtId="0" fontId="210" fillId="0" borderId="0" xfId="0" applyFont="1" applyAlignment="1">
      <alignment horizontal="right" vertical="center" wrapText="1"/>
    </xf>
    <xf numFmtId="0" fontId="218" fillId="0" borderId="13" xfId="0" quotePrefix="1" applyFont="1" applyBorder="1" applyAlignment="1">
      <alignment horizontal="center" vertical="center" wrapText="1"/>
    </xf>
    <xf numFmtId="0" fontId="218" fillId="0" borderId="13" xfId="0" applyFont="1" applyBorder="1" applyAlignment="1">
      <alignment horizontal="left" vertical="center" wrapText="1"/>
    </xf>
    <xf numFmtId="0" fontId="218" fillId="0" borderId="13" xfId="0" applyFont="1" applyBorder="1" applyAlignment="1">
      <alignment horizontal="center" vertical="center" wrapText="1"/>
    </xf>
    <xf numFmtId="0" fontId="218" fillId="0" borderId="13" xfId="0" applyFont="1" applyBorder="1" applyAlignment="1">
      <alignment horizontal="right" vertical="center" wrapText="1"/>
    </xf>
    <xf numFmtId="4" fontId="218" fillId="0" borderId="13" xfId="0" applyNumberFormat="1" applyFont="1" applyBorder="1" applyAlignment="1">
      <alignment horizontal="right" vertical="center" wrapText="1"/>
    </xf>
    <xf numFmtId="4" fontId="218" fillId="36" borderId="13" xfId="0" applyNumberFormat="1" applyFont="1" applyFill="1" applyBorder="1" applyAlignment="1">
      <alignment horizontal="right" vertical="center" wrapText="1"/>
    </xf>
    <xf numFmtId="0" fontId="208" fillId="0" borderId="13" xfId="0" applyFont="1" applyBorder="1" applyAlignment="1">
      <alignment horizontal="right" vertical="center" wrapText="1"/>
    </xf>
    <xf numFmtId="0" fontId="209" fillId="0" borderId="0" xfId="0" applyFont="1" applyAlignment="1">
      <alignment horizontal="right" vertical="center" wrapText="1"/>
    </xf>
    <xf numFmtId="173" fontId="219" fillId="0" borderId="0" xfId="0" applyNumberFormat="1" applyFont="1"/>
    <xf numFmtId="173" fontId="219" fillId="0" borderId="0" xfId="0" applyNumberFormat="1" applyFont="1" applyAlignment="1">
      <alignment horizontal="center" vertical="center" wrapText="1"/>
    </xf>
    <xf numFmtId="0" fontId="213" fillId="0" borderId="0" xfId="0" applyFont="1" applyAlignment="1">
      <alignment horizontal="center" vertical="center" wrapText="1"/>
    </xf>
    <xf numFmtId="169" fontId="219" fillId="0" borderId="0" xfId="0" applyNumberFormat="1" applyFont="1"/>
    <xf numFmtId="3" fontId="220" fillId="0" borderId="13" xfId="0" applyNumberFormat="1" applyFont="1" applyBorder="1" applyAlignment="1">
      <alignment horizontal="center" vertical="center" wrapText="1"/>
    </xf>
    <xf numFmtId="1" fontId="220" fillId="0" borderId="13" xfId="0" applyNumberFormat="1" applyFont="1" applyBorder="1" applyAlignment="1">
      <alignment horizontal="center" vertical="center" wrapText="1" shrinkToFit="1"/>
    </xf>
    <xf numFmtId="4" fontId="220" fillId="0" borderId="13" xfId="0" applyNumberFormat="1" applyFont="1" applyBorder="1" applyAlignment="1">
      <alignment horizontal="right" vertical="center" wrapText="1"/>
    </xf>
    <xf numFmtId="4" fontId="220" fillId="36" borderId="13" xfId="0" applyNumberFormat="1" applyFont="1" applyFill="1" applyBorder="1" applyAlignment="1">
      <alignment horizontal="right" vertical="center" wrapText="1"/>
    </xf>
    <xf numFmtId="0" fontId="202" fillId="0" borderId="13" xfId="0" applyFont="1" applyBorder="1" applyAlignment="1">
      <alignment horizontal="center" vertical="center" wrapText="1"/>
    </xf>
    <xf numFmtId="0" fontId="204" fillId="0" borderId="0" xfId="0" applyFont="1" applyAlignment="1">
      <alignment horizontal="center" vertical="center" wrapText="1"/>
    </xf>
    <xf numFmtId="4" fontId="204" fillId="0" borderId="0" xfId="0" applyNumberFormat="1" applyFont="1"/>
    <xf numFmtId="169" fontId="204" fillId="0" borderId="0" xfId="103" applyFont="1"/>
    <xf numFmtId="0" fontId="220" fillId="0" borderId="13" xfId="0" applyFont="1" applyBorder="1" applyAlignment="1">
      <alignment horizontal="left" vertical="center" wrapText="1"/>
    </xf>
    <xf numFmtId="0" fontId="217" fillId="36" borderId="13" xfId="0" applyFont="1" applyFill="1" applyBorder="1" applyAlignment="1">
      <alignment horizontal="center" vertical="center" wrapText="1"/>
    </xf>
    <xf numFmtId="0" fontId="204" fillId="36" borderId="0" xfId="0" applyFont="1" applyFill="1" applyAlignment="1">
      <alignment horizontal="center" vertical="center" wrapText="1"/>
    </xf>
    <xf numFmtId="4" fontId="204" fillId="36" borderId="0" xfId="0" applyNumberFormat="1" applyFont="1" applyFill="1"/>
    <xf numFmtId="169" fontId="204" fillId="36" borderId="0" xfId="103" applyFont="1" applyFill="1"/>
    <xf numFmtId="3" fontId="217" fillId="0" borderId="13" xfId="211" applyNumberFormat="1" applyFont="1" applyBorder="1" applyAlignment="1">
      <alignment horizontal="center" vertical="center" wrapText="1"/>
    </xf>
    <xf numFmtId="3" fontId="217" fillId="0" borderId="13" xfId="211" applyNumberFormat="1" applyFont="1" applyBorder="1" applyAlignment="1">
      <alignment horizontal="left" vertical="center" wrapText="1"/>
    </xf>
    <xf numFmtId="3" fontId="218" fillId="0" borderId="13" xfId="211" applyNumberFormat="1" applyFont="1" applyBorder="1" applyAlignment="1">
      <alignment horizontal="center" vertical="center" wrapText="1"/>
    </xf>
    <xf numFmtId="0" fontId="208" fillId="0" borderId="13" xfId="0" applyFont="1" applyBorder="1" applyAlignment="1">
      <alignment horizontal="center" vertical="center" wrapText="1"/>
    </xf>
    <xf numFmtId="169" fontId="208" fillId="0" borderId="13" xfId="0" applyNumberFormat="1" applyFont="1" applyBorder="1" applyAlignment="1">
      <alignment horizontal="right" vertical="center" wrapText="1"/>
    </xf>
    <xf numFmtId="169" fontId="208" fillId="36" borderId="13" xfId="0" applyNumberFormat="1" applyFont="1" applyFill="1" applyBorder="1" applyAlignment="1">
      <alignment horizontal="right" vertical="center" wrapText="1"/>
    </xf>
    <xf numFmtId="0" fontId="220" fillId="0" borderId="13" xfId="211" quotePrefix="1" applyFont="1" applyBorder="1" applyAlignment="1">
      <alignment horizontal="center" vertical="center"/>
    </xf>
    <xf numFmtId="0" fontId="220" fillId="0" borderId="13" xfId="211" applyFont="1" applyBorder="1" applyAlignment="1">
      <alignment horizontal="left" vertical="center" wrapText="1"/>
    </xf>
    <xf numFmtId="0" fontId="220" fillId="0" borderId="13" xfId="211" applyFont="1" applyBorder="1" applyAlignment="1">
      <alignment horizontal="center" vertical="center" wrapText="1"/>
    </xf>
    <xf numFmtId="0" fontId="218" fillId="0" borderId="13" xfId="211" applyFont="1" applyBorder="1" applyAlignment="1">
      <alignment horizontal="center" vertical="center" wrapText="1"/>
    </xf>
    <xf numFmtId="169" fontId="202" fillId="0" borderId="13" xfId="117" applyFont="1" applyBorder="1" applyAlignment="1">
      <alignment horizontal="center" vertical="center" wrapText="1"/>
    </xf>
    <xf numFmtId="169" fontId="221" fillId="0" borderId="0" xfId="117" applyFont="1" applyAlignment="1">
      <alignment horizontal="center" vertical="center" wrapText="1"/>
    </xf>
    <xf numFmtId="0" fontId="220" fillId="0" borderId="13" xfId="0" applyFont="1" applyBorder="1" applyAlignment="1">
      <alignment horizontal="center" vertical="center" wrapText="1"/>
    </xf>
    <xf numFmtId="169" fontId="215" fillId="0" borderId="13" xfId="103" applyFont="1" applyBorder="1" applyAlignment="1">
      <alignment horizontal="right" vertical="center" wrapText="1"/>
    </xf>
    <xf numFmtId="169" fontId="215" fillId="0" borderId="13" xfId="117" applyFont="1" applyBorder="1" applyAlignment="1">
      <alignment horizontal="right" vertical="center" wrapText="1"/>
    </xf>
    <xf numFmtId="169" fontId="215" fillId="36" borderId="13" xfId="117" applyFont="1" applyFill="1" applyBorder="1" applyAlignment="1">
      <alignment horizontal="right" vertical="center" wrapText="1"/>
    </xf>
    <xf numFmtId="3" fontId="218" fillId="0" borderId="13" xfId="211" applyNumberFormat="1" applyFont="1" applyBorder="1" applyAlignment="1">
      <alignment horizontal="left" vertical="center" wrapText="1"/>
    </xf>
    <xf numFmtId="169" fontId="208" fillId="0" borderId="13" xfId="103" applyFont="1" applyBorder="1" applyAlignment="1">
      <alignment horizontal="right" vertical="center" wrapText="1"/>
    </xf>
    <xf numFmtId="169" fontId="208" fillId="0" borderId="13" xfId="117" applyFont="1" applyBorder="1" applyAlignment="1">
      <alignment horizontal="right" vertical="center" wrapText="1"/>
    </xf>
    <xf numFmtId="169" fontId="208" fillId="36" borderId="13" xfId="117" applyFont="1" applyFill="1" applyBorder="1" applyAlignment="1">
      <alignment horizontal="right" vertical="center" wrapText="1"/>
    </xf>
    <xf numFmtId="0" fontId="217" fillId="0" borderId="13" xfId="0" applyFont="1" applyBorder="1" applyAlignment="1">
      <alignment horizontal="right" vertical="center" wrapText="1"/>
    </xf>
    <xf numFmtId="4" fontId="217" fillId="0" borderId="13" xfId="0" applyNumberFormat="1" applyFont="1" applyBorder="1" applyAlignment="1">
      <alignment horizontal="right" vertical="center" wrapText="1"/>
    </xf>
    <xf numFmtId="4" fontId="217" fillId="36" borderId="13" xfId="0" applyNumberFormat="1" applyFont="1" applyFill="1" applyBorder="1" applyAlignment="1">
      <alignment horizontal="right" vertical="center" wrapText="1"/>
    </xf>
    <xf numFmtId="169" fontId="220" fillId="0" borderId="13" xfId="103" applyFont="1" applyBorder="1" applyAlignment="1">
      <alignment horizontal="right" vertical="center" wrapText="1"/>
    </xf>
    <xf numFmtId="0" fontId="220" fillId="0" borderId="13" xfId="0" quotePrefix="1" applyFont="1" applyBorder="1" applyAlignment="1">
      <alignment horizontal="center" vertical="center"/>
    </xf>
    <xf numFmtId="0" fontId="220" fillId="0" borderId="13" xfId="0" applyFont="1" applyBorder="1" applyAlignment="1">
      <alignment horizontal="right" vertical="center" wrapText="1"/>
    </xf>
    <xf numFmtId="0" fontId="217" fillId="0" borderId="13" xfId="0" quotePrefix="1" applyFont="1" applyBorder="1" applyAlignment="1">
      <alignment horizontal="center" vertical="center" wrapText="1"/>
    </xf>
    <xf numFmtId="1" fontId="217" fillId="0" borderId="13" xfId="0" applyNumberFormat="1" applyFont="1" applyBorder="1" applyAlignment="1">
      <alignment horizontal="left" vertical="center" wrapText="1" shrinkToFit="1"/>
    </xf>
    <xf numFmtId="3" fontId="217" fillId="0" borderId="13" xfId="0" applyNumberFormat="1" applyFont="1" applyBorder="1" applyAlignment="1">
      <alignment horizontal="center" vertical="center" wrapText="1"/>
    </xf>
    <xf numFmtId="1" fontId="217" fillId="0" borderId="13" xfId="0" applyNumberFormat="1" applyFont="1" applyBorder="1" applyAlignment="1">
      <alignment horizontal="center" vertical="center" wrapText="1" shrinkToFit="1"/>
    </xf>
    <xf numFmtId="3" fontId="218" fillId="0" borderId="13" xfId="0" applyNumberFormat="1" applyFont="1" applyBorder="1" applyAlignment="1">
      <alignment horizontal="center" vertical="center" wrapText="1"/>
    </xf>
    <xf numFmtId="1" fontId="218" fillId="0" borderId="13" xfId="0" applyNumberFormat="1" applyFont="1" applyBorder="1" applyAlignment="1">
      <alignment horizontal="center" vertical="center" wrapText="1" shrinkToFit="1"/>
    </xf>
    <xf numFmtId="169" fontId="218" fillId="0" borderId="13" xfId="103" applyFont="1" applyBorder="1" applyAlignment="1">
      <alignment horizontal="right" vertical="center" wrapText="1"/>
    </xf>
    <xf numFmtId="0" fontId="216" fillId="0" borderId="0" xfId="0" applyFont="1" applyAlignment="1">
      <alignment horizontal="right" vertical="center" wrapText="1"/>
    </xf>
    <xf numFmtId="0" fontId="215" fillId="0" borderId="13" xfId="0" applyFont="1" applyBorder="1" applyAlignment="1">
      <alignment horizontal="left" vertical="center" wrapText="1"/>
    </xf>
    <xf numFmtId="0" fontId="208" fillId="0" borderId="13" xfId="0" applyFont="1" applyBorder="1" applyAlignment="1">
      <alignment horizontal="left" vertical="center" wrapText="1"/>
    </xf>
    <xf numFmtId="169" fontId="220" fillId="0" borderId="13" xfId="103" applyFont="1" applyBorder="1" applyAlignment="1">
      <alignment horizontal="right" vertical="center"/>
    </xf>
    <xf numFmtId="3" fontId="208" fillId="0" borderId="13" xfId="0" applyNumberFormat="1" applyFont="1" applyBorder="1" applyAlignment="1">
      <alignment horizontal="right" vertical="center" wrapText="1"/>
    </xf>
    <xf numFmtId="3" fontId="209" fillId="0" borderId="0" xfId="0" applyNumberFormat="1" applyFont="1" applyAlignment="1">
      <alignment horizontal="right" vertical="center" wrapText="1"/>
    </xf>
    <xf numFmtId="169" fontId="220" fillId="36" borderId="13" xfId="103" applyFont="1" applyFill="1" applyBorder="1" applyAlignment="1">
      <alignment horizontal="right" vertical="center" wrapText="1"/>
    </xf>
    <xf numFmtId="169" fontId="215" fillId="0" borderId="13" xfId="103" applyFont="1" applyBorder="1" applyAlignment="1">
      <alignment horizontal="center" vertical="center" wrapText="1"/>
    </xf>
    <xf numFmtId="169" fontId="210" fillId="0" borderId="0" xfId="103" applyFont="1" applyAlignment="1">
      <alignment horizontal="center" vertical="center" wrapText="1"/>
    </xf>
    <xf numFmtId="169" fontId="217" fillId="0" borderId="13" xfId="103" applyFont="1" applyBorder="1" applyAlignment="1">
      <alignment horizontal="right" vertical="center" wrapText="1"/>
    </xf>
    <xf numFmtId="169" fontId="217" fillId="36" borderId="13" xfId="103" applyFont="1" applyFill="1" applyBorder="1" applyAlignment="1">
      <alignment horizontal="right" vertical="center" wrapText="1"/>
    </xf>
    <xf numFmtId="169" fontId="218" fillId="36" borderId="13" xfId="103" applyFont="1" applyFill="1" applyBorder="1" applyAlignment="1">
      <alignment horizontal="right" vertical="center" wrapText="1"/>
    </xf>
    <xf numFmtId="169" fontId="202" fillId="0" borderId="13" xfId="103" applyFont="1" applyBorder="1" applyAlignment="1">
      <alignment horizontal="center" vertical="center" wrapText="1"/>
    </xf>
    <xf numFmtId="169" fontId="221" fillId="0" borderId="0" xfId="103" applyFont="1" applyAlignment="1">
      <alignment horizontal="center" vertical="center" wrapText="1"/>
    </xf>
    <xf numFmtId="0" fontId="202" fillId="0" borderId="13" xfId="0" applyFont="1" applyBorder="1" applyAlignment="1">
      <alignment horizontal="left" vertical="center" wrapText="1"/>
    </xf>
    <xf numFmtId="169" fontId="215" fillId="36" borderId="13" xfId="103" applyFont="1" applyFill="1" applyBorder="1" applyAlignment="1">
      <alignment horizontal="right" vertical="center" wrapText="1"/>
    </xf>
    <xf numFmtId="169" fontId="208" fillId="36" borderId="13" xfId="103" applyFont="1" applyFill="1" applyBorder="1" applyAlignment="1">
      <alignment horizontal="right" vertical="center" wrapText="1"/>
    </xf>
    <xf numFmtId="169" fontId="208" fillId="0" borderId="13" xfId="103" applyFont="1" applyBorder="1" applyAlignment="1">
      <alignment horizontal="center" vertical="center" wrapText="1"/>
    </xf>
    <xf numFmtId="169" fontId="209" fillId="0" borderId="0" xfId="103" applyFont="1" applyAlignment="1">
      <alignment horizontal="center" vertical="center" wrapText="1"/>
    </xf>
    <xf numFmtId="0" fontId="219" fillId="0" borderId="0" xfId="0" applyFont="1"/>
    <xf numFmtId="0" fontId="222" fillId="0" borderId="0" xfId="0" applyFont="1"/>
    <xf numFmtId="0" fontId="217" fillId="0" borderId="13" xfId="211" applyFont="1" applyBorder="1" applyAlignment="1">
      <alignment horizontal="center" vertical="center" wrapText="1"/>
    </xf>
    <xf numFmtId="0" fontId="217" fillId="0" borderId="13" xfId="211" quotePrefix="1" applyFont="1" applyBorder="1" applyAlignment="1">
      <alignment horizontal="center" vertical="center"/>
    </xf>
    <xf numFmtId="0" fontId="217" fillId="0" borderId="13" xfId="211" applyFont="1" applyBorder="1" applyAlignment="1">
      <alignment horizontal="left" vertical="center" wrapText="1"/>
    </xf>
    <xf numFmtId="169" fontId="217" fillId="0" borderId="13" xfId="103" applyFont="1" applyBorder="1" applyAlignment="1">
      <alignment horizontal="right" vertical="center"/>
    </xf>
    <xf numFmtId="169" fontId="217" fillId="36" borderId="13" xfId="103" applyFont="1" applyFill="1" applyBorder="1" applyAlignment="1">
      <alignment horizontal="right" vertical="center"/>
    </xf>
    <xf numFmtId="0" fontId="218" fillId="0" borderId="13" xfId="211" quotePrefix="1" applyFont="1" applyBorder="1" applyAlignment="1">
      <alignment horizontal="center" vertical="center"/>
    </xf>
    <xf numFmtId="0" fontId="218" fillId="0" borderId="13" xfId="211" applyFont="1" applyBorder="1" applyAlignment="1">
      <alignment horizontal="left" vertical="center" wrapText="1"/>
    </xf>
    <xf numFmtId="169" fontId="218" fillId="0" borderId="13" xfId="103" applyFont="1" applyBorder="1" applyAlignment="1">
      <alignment horizontal="right" vertical="center"/>
    </xf>
    <xf numFmtId="169" fontId="218" fillId="36" borderId="13" xfId="103" applyFont="1" applyFill="1" applyBorder="1" applyAlignment="1">
      <alignment horizontal="right" vertical="center"/>
    </xf>
    <xf numFmtId="0" fontId="223" fillId="0" borderId="0" xfId="0" applyFont="1" applyAlignment="1">
      <alignment horizontal="center"/>
    </xf>
    <xf numFmtId="0" fontId="223" fillId="0" borderId="0" xfId="0" applyFont="1"/>
    <xf numFmtId="0" fontId="223" fillId="0" borderId="0" xfId="0" applyFont="1" applyAlignment="1">
      <alignment horizontal="right"/>
    </xf>
    <xf numFmtId="169" fontId="0" fillId="0" borderId="0" xfId="0" applyNumberFormat="1"/>
    <xf numFmtId="169" fontId="0" fillId="36" borderId="0" xfId="0" applyNumberFormat="1" applyFill="1"/>
    <xf numFmtId="0" fontId="0" fillId="0" borderId="0" xfId="0" applyAlignment="1">
      <alignment horizontal="right"/>
    </xf>
    <xf numFmtId="0" fontId="224" fillId="0" borderId="13" xfId="0" applyFont="1" applyBorder="1" applyAlignment="1">
      <alignment horizontal="center" vertical="center"/>
    </xf>
    <xf numFmtId="1" fontId="224" fillId="0" borderId="13" xfId="0" applyNumberFormat="1" applyFont="1" applyBorder="1" applyAlignment="1">
      <alignment horizontal="left" vertical="center" wrapText="1" shrinkToFit="1"/>
    </xf>
    <xf numFmtId="3" fontId="224" fillId="0" borderId="13" xfId="0" applyNumberFormat="1" applyFont="1" applyBorder="1" applyAlignment="1">
      <alignment horizontal="center" vertical="center" wrapText="1"/>
    </xf>
    <xf numFmtId="1" fontId="224" fillId="0" borderId="13" xfId="0" applyNumberFormat="1" applyFont="1" applyBorder="1" applyAlignment="1">
      <alignment horizontal="left" vertical="center" wrapText="1"/>
    </xf>
    <xf numFmtId="1" fontId="224" fillId="0" borderId="13" xfId="0" applyNumberFormat="1" applyFont="1" applyBorder="1" applyAlignment="1">
      <alignment horizontal="center" vertical="center" wrapText="1" shrinkToFit="1"/>
    </xf>
    <xf numFmtId="0" fontId="225" fillId="0" borderId="13" xfId="0" applyFont="1" applyBorder="1" applyAlignment="1">
      <alignment horizontal="center" vertical="center" wrapText="1"/>
    </xf>
    <xf numFmtId="4" fontId="224" fillId="0" borderId="13" xfId="0" applyNumberFormat="1" applyFont="1" applyBorder="1" applyAlignment="1">
      <alignment horizontal="right" vertical="center" wrapText="1"/>
    </xf>
    <xf numFmtId="4" fontId="224" fillId="36" borderId="13" xfId="0" applyNumberFormat="1" applyFont="1" applyFill="1" applyBorder="1" applyAlignment="1">
      <alignment horizontal="right" vertical="center" wrapText="1"/>
    </xf>
    <xf numFmtId="0" fontId="174" fillId="0" borderId="13" xfId="0" applyFont="1" applyBorder="1" applyAlignment="1">
      <alignment horizontal="center" vertical="center" wrapText="1"/>
    </xf>
    <xf numFmtId="0" fontId="174" fillId="0" borderId="0" xfId="0" applyFont="1" applyAlignment="1">
      <alignment horizontal="center" vertical="center" wrapText="1"/>
    </xf>
    <xf numFmtId="173" fontId="226" fillId="0" borderId="0" xfId="0" applyNumberFormat="1" applyFont="1"/>
    <xf numFmtId="169" fontId="226" fillId="0" borderId="0" xfId="0" applyNumberFormat="1" applyFont="1" applyAlignment="1">
      <alignment horizontal="center" vertical="center" wrapText="1"/>
    </xf>
    <xf numFmtId="173" fontId="226" fillId="0" borderId="0" xfId="0" applyNumberFormat="1" applyFont="1" applyAlignment="1">
      <alignment horizontal="center" vertical="center" wrapText="1"/>
    </xf>
    <xf numFmtId="0" fontId="227" fillId="0" borderId="0" xfId="0" applyFont="1"/>
    <xf numFmtId="0" fontId="227" fillId="0" borderId="0" xfId="0" applyFont="1" applyAlignment="1">
      <alignment horizontal="center" vertical="center" wrapText="1"/>
    </xf>
    <xf numFmtId="169" fontId="226" fillId="0" borderId="0" xfId="0" applyNumberFormat="1" applyFont="1"/>
    <xf numFmtId="4" fontId="227" fillId="0" borderId="0" xfId="0" applyNumberFormat="1" applyFont="1"/>
    <xf numFmtId="169" fontId="227" fillId="0" borderId="0" xfId="103" applyFont="1"/>
    <xf numFmtId="189" fontId="224" fillId="0" borderId="13" xfId="0" applyNumberFormat="1" applyFont="1" applyBorder="1" applyAlignment="1">
      <alignment horizontal="left" vertical="center" wrapText="1"/>
    </xf>
    <xf numFmtId="0" fontId="224" fillId="0" borderId="13" xfId="0" applyFont="1" applyBorder="1" applyAlignment="1">
      <alignment horizontal="left" vertical="center" wrapText="1"/>
    </xf>
    <xf numFmtId="0" fontId="224" fillId="0" borderId="13" xfId="0" applyFont="1" applyBorder="1" applyAlignment="1">
      <alignment horizontal="center"/>
    </xf>
    <xf numFmtId="1" fontId="224" fillId="0" borderId="13" xfId="0" applyNumberFormat="1" applyFont="1" applyBorder="1" applyAlignment="1">
      <alignment vertical="center" wrapText="1"/>
    </xf>
    <xf numFmtId="0" fontId="224" fillId="0" borderId="13" xfId="0" quotePrefix="1" applyFont="1" applyBorder="1" applyAlignment="1">
      <alignment horizontal="left" vertical="center" wrapText="1"/>
    </xf>
    <xf numFmtId="0" fontId="224" fillId="0" borderId="13" xfId="0" applyFont="1" applyBorder="1"/>
    <xf numFmtId="0" fontId="224" fillId="0" borderId="13" xfId="211" quotePrefix="1" applyFont="1" applyBorder="1" applyAlignment="1">
      <alignment horizontal="center" vertical="center"/>
    </xf>
    <xf numFmtId="0" fontId="224" fillId="0" borderId="13" xfId="211" applyFont="1" applyBorder="1" applyAlignment="1">
      <alignment horizontal="left" vertical="center" wrapText="1"/>
    </xf>
    <xf numFmtId="0" fontId="224" fillId="0" borderId="13" xfId="211" applyFont="1" applyBorder="1" applyAlignment="1">
      <alignment horizontal="center" vertical="center" wrapText="1"/>
    </xf>
    <xf numFmtId="0" fontId="173" fillId="0" borderId="13" xfId="211" applyFont="1" applyBorder="1" applyAlignment="1">
      <alignment horizontal="center" vertical="center" wrapText="1"/>
    </xf>
    <xf numFmtId="0" fontId="225" fillId="0" borderId="13" xfId="211" applyFont="1" applyBorder="1" applyAlignment="1">
      <alignment horizontal="center" vertical="center" wrapText="1"/>
    </xf>
    <xf numFmtId="169" fontId="174" fillId="0" borderId="13" xfId="103" applyFont="1" applyBorder="1" applyAlignment="1">
      <alignment horizontal="right" vertical="center"/>
    </xf>
    <xf numFmtId="169" fontId="174" fillId="0" borderId="13" xfId="117" applyFont="1" applyBorder="1" applyAlignment="1">
      <alignment horizontal="right" vertical="center" wrapText="1"/>
    </xf>
    <xf numFmtId="169" fontId="174" fillId="36" borderId="13" xfId="117" applyFont="1" applyFill="1" applyBorder="1" applyAlignment="1">
      <alignment horizontal="right" vertical="center" wrapText="1"/>
    </xf>
    <xf numFmtId="169" fontId="174" fillId="0" borderId="13" xfId="117" applyFont="1" applyBorder="1" applyAlignment="1">
      <alignment horizontal="center" vertical="center" wrapText="1"/>
    </xf>
    <xf numFmtId="169" fontId="174" fillId="0" borderId="0" xfId="117" applyFont="1" applyAlignment="1">
      <alignment horizontal="center" vertical="center" wrapText="1"/>
    </xf>
    <xf numFmtId="169" fontId="226" fillId="0" borderId="0" xfId="103" applyFont="1"/>
    <xf numFmtId="0" fontId="173" fillId="0" borderId="13" xfId="0" applyFont="1" applyBorder="1" applyAlignment="1">
      <alignment horizontal="center" vertical="center"/>
    </xf>
    <xf numFmtId="0" fontId="173" fillId="0" borderId="13" xfId="0" applyFont="1" applyBorder="1" applyAlignment="1">
      <alignment horizontal="left" vertical="center" wrapText="1"/>
    </xf>
    <xf numFmtId="0" fontId="224" fillId="0" borderId="13" xfId="0" applyFont="1" applyBorder="1" applyAlignment="1">
      <alignment horizontal="center" vertical="center" wrapText="1"/>
    </xf>
    <xf numFmtId="0" fontId="173" fillId="0" borderId="13" xfId="0" applyFont="1" applyBorder="1" applyAlignment="1">
      <alignment horizontal="center" vertical="center" wrapText="1"/>
    </xf>
    <xf numFmtId="0" fontId="228" fillId="0" borderId="13" xfId="0" applyFont="1" applyBorder="1" applyAlignment="1">
      <alignment horizontal="center" vertical="center" wrapText="1"/>
    </xf>
    <xf numFmtId="169" fontId="174" fillId="0" borderId="13" xfId="0" applyNumberFormat="1" applyFont="1" applyBorder="1" applyAlignment="1">
      <alignment horizontal="right" vertical="center"/>
    </xf>
    <xf numFmtId="0" fontId="224" fillId="0" borderId="13" xfId="0" quotePrefix="1" applyFont="1" applyBorder="1" applyAlignment="1">
      <alignment horizontal="center" vertical="center" wrapText="1"/>
    </xf>
    <xf numFmtId="0" fontId="225" fillId="0" borderId="13" xfId="0" applyFont="1" applyBorder="1" applyAlignment="1">
      <alignment horizontal="right" vertical="center" wrapText="1"/>
    </xf>
    <xf numFmtId="169" fontId="224" fillId="0" borderId="13" xfId="103" applyFont="1" applyBorder="1" applyAlignment="1">
      <alignment horizontal="right" vertical="center" wrapText="1"/>
    </xf>
    <xf numFmtId="0" fontId="216" fillId="0" borderId="13" xfId="0" applyFont="1" applyBorder="1" applyAlignment="1">
      <alignment horizontal="right" vertical="center" wrapText="1"/>
    </xf>
    <xf numFmtId="0" fontId="224" fillId="0" borderId="13" xfId="0" quotePrefix="1" applyFont="1" applyBorder="1" applyAlignment="1">
      <alignment horizontal="center" vertical="center"/>
    </xf>
    <xf numFmtId="0" fontId="224" fillId="0" borderId="13" xfId="0" applyFont="1" applyBorder="1" applyAlignment="1">
      <alignment horizontal="right" vertical="center" wrapText="1"/>
    </xf>
    <xf numFmtId="189" fontId="224" fillId="0" borderId="13" xfId="0" applyNumberFormat="1" applyFont="1" applyBorder="1" applyAlignment="1">
      <alignment vertical="center" wrapText="1"/>
    </xf>
    <xf numFmtId="0" fontId="224" fillId="0" borderId="13" xfId="0" applyFont="1" applyBorder="1" applyAlignment="1">
      <alignment vertical="center" wrapText="1"/>
    </xf>
    <xf numFmtId="1" fontId="224" fillId="0" borderId="13" xfId="230" applyNumberFormat="1" applyFont="1" applyBorder="1" applyAlignment="1">
      <alignment horizontal="left" vertical="center" wrapText="1"/>
    </xf>
    <xf numFmtId="169" fontId="173" fillId="0" borderId="13" xfId="103" applyFont="1" applyBorder="1" applyAlignment="1">
      <alignment horizontal="right" vertical="center"/>
    </xf>
    <xf numFmtId="169" fontId="224" fillId="0" borderId="13" xfId="103" applyFont="1" applyBorder="1" applyAlignment="1">
      <alignment horizontal="right" vertical="center"/>
    </xf>
    <xf numFmtId="169" fontId="224" fillId="36" borderId="13" xfId="103" applyFont="1" applyFill="1" applyBorder="1" applyAlignment="1">
      <alignment horizontal="right" vertical="center"/>
    </xf>
    <xf numFmtId="0" fontId="173" fillId="0" borderId="13" xfId="211" quotePrefix="1" applyFont="1" applyBorder="1" applyAlignment="1">
      <alignment horizontal="center" vertical="center"/>
    </xf>
    <xf numFmtId="0" fontId="173" fillId="0" borderId="13" xfId="211" applyFont="1" applyBorder="1" applyAlignment="1">
      <alignment horizontal="left" vertical="center" wrapText="1"/>
    </xf>
    <xf numFmtId="3" fontId="229" fillId="0" borderId="13" xfId="0" applyNumberFormat="1" applyFont="1" applyBorder="1" applyAlignment="1">
      <alignment horizontal="right" vertical="center" wrapText="1"/>
    </xf>
    <xf numFmtId="3" fontId="229" fillId="0" borderId="0" xfId="0" applyNumberFormat="1" applyFont="1" applyAlignment="1">
      <alignment horizontal="right" vertical="center" wrapText="1"/>
    </xf>
    <xf numFmtId="169" fontId="227" fillId="0" borderId="0" xfId="0" applyNumberFormat="1" applyFont="1" applyAlignment="1">
      <alignment horizontal="center" vertical="center" wrapText="1"/>
    </xf>
    <xf numFmtId="169" fontId="227" fillId="0" borderId="0" xfId="0" applyNumberFormat="1" applyFont="1"/>
    <xf numFmtId="169" fontId="224" fillId="36" borderId="13" xfId="103" applyFont="1" applyFill="1" applyBorder="1" applyAlignment="1">
      <alignment horizontal="right" vertical="center" wrapText="1"/>
    </xf>
    <xf numFmtId="0" fontId="226" fillId="0" borderId="0" xfId="0" applyFont="1"/>
    <xf numFmtId="169" fontId="174" fillId="0" borderId="13" xfId="103" applyFont="1" applyBorder="1" applyAlignment="1">
      <alignment horizontal="center" vertical="center" wrapText="1"/>
    </xf>
    <xf numFmtId="169" fontId="174" fillId="0" borderId="0" xfId="103" applyFont="1" applyAlignment="1">
      <alignment horizontal="center" vertical="center" wrapText="1"/>
    </xf>
    <xf numFmtId="0" fontId="230" fillId="0" borderId="13" xfId="211" applyFont="1" applyBorder="1" applyAlignment="1">
      <alignment horizontal="center" vertical="center" wrapText="1"/>
    </xf>
    <xf numFmtId="0" fontId="231" fillId="0" borderId="0" xfId="0" applyFont="1"/>
    <xf numFmtId="173" fontId="216" fillId="0" borderId="0" xfId="103" applyNumberFormat="1" applyFont="1" applyAlignment="1">
      <alignment horizontal="right" vertical="center" wrapText="1"/>
    </xf>
    <xf numFmtId="0" fontId="2" fillId="0" borderId="0" xfId="218" applyFont="1" applyAlignment="1">
      <alignment horizontal="center"/>
    </xf>
    <xf numFmtId="0" fontId="2" fillId="0" borderId="0" xfId="218" applyFont="1"/>
    <xf numFmtId="0" fontId="5" fillId="0" borderId="0" xfId="218" applyFont="1" applyAlignment="1">
      <alignment horizontal="center" vertical="center" wrapText="1"/>
    </xf>
    <xf numFmtId="0" fontId="5" fillId="0" borderId="24" xfId="218" applyFont="1" applyBorder="1" applyAlignment="1">
      <alignment horizontal="center" vertical="center" wrapText="1"/>
    </xf>
    <xf numFmtId="0" fontId="6" fillId="0" borderId="0" xfId="218" applyFont="1" applyAlignment="1">
      <alignment horizontal="center"/>
    </xf>
    <xf numFmtId="0" fontId="6" fillId="0" borderId="19" xfId="218" applyFont="1" applyBorder="1" applyAlignment="1">
      <alignment horizontal="center" vertical="center"/>
    </xf>
    <xf numFmtId="0" fontId="7" fillId="0" borderId="13" xfId="218" applyFont="1" applyBorder="1" applyAlignment="1">
      <alignment horizontal="center" vertical="center" wrapText="1"/>
    </xf>
    <xf numFmtId="0" fontId="7" fillId="0" borderId="20" xfId="218" applyFont="1" applyBorder="1" applyAlignment="1">
      <alignment horizontal="center" vertical="center" wrapText="1"/>
    </xf>
    <xf numFmtId="0" fontId="6" fillId="0" borderId="3" xfId="218" applyFont="1" applyBorder="1" applyAlignment="1">
      <alignment horizontal="center" vertical="center" wrapText="1"/>
    </xf>
    <xf numFmtId="0" fontId="10" fillId="0" borderId="19" xfId="218" applyFont="1" applyBorder="1" applyAlignment="1">
      <alignment horizontal="center" vertical="center" wrapText="1"/>
    </xf>
    <xf numFmtId="0" fontId="6" fillId="0" borderId="19" xfId="218" applyFont="1" applyBorder="1" applyAlignment="1">
      <alignment horizontal="center" vertical="center" wrapText="1"/>
    </xf>
    <xf numFmtId="0" fontId="7" fillId="0" borderId="3" xfId="218" applyFont="1" applyBorder="1" applyAlignment="1">
      <alignment horizontal="center" vertical="center" wrapText="1"/>
    </xf>
    <xf numFmtId="0" fontId="7" fillId="0" borderId="40" xfId="218" applyFont="1" applyBorder="1" applyAlignment="1">
      <alignment horizontal="center" vertical="center" wrapText="1"/>
    </xf>
    <xf numFmtId="0" fontId="6" fillId="0" borderId="27" xfId="218" applyFont="1" applyBorder="1" applyAlignment="1">
      <alignment horizontal="center" vertical="center" wrapText="1"/>
    </xf>
    <xf numFmtId="0" fontId="6" fillId="0" borderId="27" xfId="218" applyFont="1" applyBorder="1" applyAlignment="1">
      <alignment vertical="center" wrapText="1"/>
    </xf>
    <xf numFmtId="173" fontId="9" fillId="0" borderId="27" xfId="218" applyNumberFormat="1" applyFont="1" applyBorder="1" applyAlignment="1">
      <alignment horizontal="center" vertical="center" wrapText="1"/>
    </xf>
    <xf numFmtId="173" fontId="10" fillId="0" borderId="27" xfId="218" applyNumberFormat="1" applyFont="1" applyBorder="1" applyAlignment="1">
      <alignment horizontal="center" vertical="center" wrapText="1"/>
    </xf>
    <xf numFmtId="0" fontId="6" fillId="0" borderId="0" xfId="218" applyFont="1" applyAlignment="1">
      <alignment vertical="center" wrapText="1"/>
    </xf>
    <xf numFmtId="0" fontId="7" fillId="0" borderId="27" xfId="218" applyFont="1" applyBorder="1" applyAlignment="1">
      <alignment horizontal="center" vertical="center" wrapText="1"/>
    </xf>
    <xf numFmtId="0" fontId="7" fillId="0" borderId="27" xfId="218" applyFont="1" applyBorder="1" applyAlignment="1">
      <alignment vertical="center" wrapText="1"/>
    </xf>
    <xf numFmtId="0" fontId="7" fillId="0" borderId="0" xfId="218" applyFont="1"/>
    <xf numFmtId="0" fontId="3" fillId="0" borderId="0" xfId="218" applyFont="1" applyAlignment="1">
      <alignment horizontal="center"/>
    </xf>
    <xf numFmtId="0" fontId="3" fillId="0" borderId="0" xfId="218" applyFont="1"/>
    <xf numFmtId="0" fontId="11" fillId="0" borderId="27" xfId="218" applyFont="1" applyBorder="1" applyAlignment="1">
      <alignment horizontal="center" vertical="center" wrapText="1"/>
    </xf>
    <xf numFmtId="0" fontId="11" fillId="0" borderId="27" xfId="218" applyFont="1" applyBorder="1" applyAlignment="1">
      <alignment vertical="center" wrapText="1"/>
    </xf>
    <xf numFmtId="0" fontId="11" fillId="0" borderId="0" xfId="218" applyFont="1" applyAlignment="1">
      <alignment vertical="center" wrapText="1"/>
    </xf>
    <xf numFmtId="0" fontId="7" fillId="0" borderId="0" xfId="218" applyFont="1" applyAlignment="1">
      <alignment vertical="center" wrapText="1"/>
    </xf>
    <xf numFmtId="0" fontId="7" fillId="38" borderId="0" xfId="218" applyFont="1" applyFill="1" applyAlignment="1">
      <alignment vertical="center" wrapText="1"/>
    </xf>
    <xf numFmtId="0" fontId="7" fillId="36" borderId="13" xfId="226" applyFont="1" applyFill="1" applyBorder="1" applyAlignment="1">
      <alignment horizontal="justify" vertical="center" wrapText="1"/>
    </xf>
    <xf numFmtId="0" fontId="172" fillId="36" borderId="13" xfId="226" applyFont="1" applyFill="1" applyBorder="1" applyAlignment="1">
      <alignment horizontal="justify" vertical="center" wrapText="1"/>
    </xf>
    <xf numFmtId="0" fontId="202" fillId="0" borderId="0" xfId="219" applyFont="1" applyAlignment="1">
      <alignment horizontal="center" vertical="center" wrapText="1"/>
    </xf>
    <xf numFmtId="0" fontId="2" fillId="0" borderId="0" xfId="219" applyFont="1" applyAlignment="1">
      <alignment horizontal="center" vertical="center" wrapText="1"/>
    </xf>
    <xf numFmtId="0" fontId="26" fillId="0" borderId="0" xfId="219" applyFont="1" applyAlignment="1">
      <alignment vertical="center" wrapText="1"/>
    </xf>
    <xf numFmtId="0" fontId="232" fillId="0" borderId="0" xfId="219" applyFont="1" applyAlignment="1">
      <alignment vertical="center" wrapText="1"/>
    </xf>
    <xf numFmtId="173" fontId="233" fillId="0" borderId="13" xfId="124" applyNumberFormat="1" applyFont="1" applyBorder="1" applyAlignment="1">
      <alignment horizontal="center" vertical="center" wrapText="1"/>
    </xf>
    <xf numFmtId="0" fontId="21" fillId="0" borderId="0" xfId="219" applyFont="1" applyAlignment="1">
      <alignment horizontal="center" vertical="center" wrapText="1"/>
    </xf>
    <xf numFmtId="0" fontId="233" fillId="0" borderId="0" xfId="219" applyFont="1" applyAlignment="1">
      <alignment horizontal="center" vertical="center" wrapText="1"/>
    </xf>
    <xf numFmtId="0" fontId="234" fillId="0" borderId="13" xfId="219" applyFont="1" applyBorder="1" applyAlignment="1">
      <alignment horizontal="center" vertical="center" wrapText="1"/>
    </xf>
    <xf numFmtId="0" fontId="11" fillId="0" borderId="0" xfId="219" applyFont="1" applyAlignment="1">
      <alignment horizontal="center" vertical="center" wrapText="1"/>
    </xf>
    <xf numFmtId="0" fontId="200" fillId="0" borderId="0" xfId="219" applyFont="1" applyAlignment="1">
      <alignment horizontal="center" vertical="center" wrapText="1"/>
    </xf>
    <xf numFmtId="0" fontId="233" fillId="0" borderId="28" xfId="219" applyFont="1" applyBorder="1" applyAlignment="1">
      <alignment horizontal="center" vertical="center" wrapText="1"/>
    </xf>
    <xf numFmtId="0" fontId="233" fillId="0" borderId="28" xfId="219" applyFont="1" applyBorder="1" applyAlignment="1">
      <alignment horizontal="left" vertical="center" wrapText="1"/>
    </xf>
    <xf numFmtId="178" fontId="233" fillId="0" borderId="28" xfId="219" applyNumberFormat="1" applyFont="1" applyBorder="1" applyAlignment="1">
      <alignment horizontal="right" vertical="center" wrapText="1"/>
    </xf>
    <xf numFmtId="3" fontId="21" fillId="0" borderId="0" xfId="219" applyNumberFormat="1" applyFont="1" applyAlignment="1">
      <alignment horizontal="center" vertical="center" wrapText="1"/>
    </xf>
    <xf numFmtId="0" fontId="233" fillId="0" borderId="27" xfId="219" applyFont="1" applyBorder="1" applyAlignment="1">
      <alignment horizontal="center" vertical="center" wrapText="1"/>
    </xf>
    <xf numFmtId="0" fontId="233" fillId="0" borderId="27" xfId="219" applyFont="1" applyBorder="1" applyAlignment="1">
      <alignment horizontal="left" vertical="center" wrapText="1"/>
    </xf>
    <xf numFmtId="178" fontId="233" fillId="0" borderId="27" xfId="219" applyNumberFormat="1" applyFont="1" applyBorder="1" applyAlignment="1">
      <alignment horizontal="right" vertical="center" wrapText="1"/>
    </xf>
    <xf numFmtId="178" fontId="233" fillId="0" borderId="0" xfId="219" applyNumberFormat="1" applyFont="1" applyAlignment="1">
      <alignment horizontal="center" vertical="center" wrapText="1"/>
    </xf>
    <xf numFmtId="0" fontId="232" fillId="0" borderId="27" xfId="219" applyFont="1" applyBorder="1" applyAlignment="1">
      <alignment horizontal="center" vertical="center" wrapText="1"/>
    </xf>
    <xf numFmtId="0" fontId="232" fillId="0" borderId="27" xfId="219" applyFont="1" applyBorder="1" applyAlignment="1">
      <alignment horizontal="left" vertical="center" wrapText="1"/>
    </xf>
    <xf numFmtId="178" fontId="232" fillId="0" borderId="27" xfId="219" applyNumberFormat="1" applyFont="1" applyBorder="1" applyAlignment="1">
      <alignment horizontal="right" vertical="center" wrapText="1"/>
    </xf>
    <xf numFmtId="3" fontId="26" fillId="0" borderId="0" xfId="219" applyNumberFormat="1" applyFont="1" applyAlignment="1">
      <alignment horizontal="center" vertical="center" wrapText="1"/>
    </xf>
    <xf numFmtId="0" fontId="232" fillId="0" borderId="0" xfId="219" applyFont="1" applyAlignment="1">
      <alignment horizontal="center" vertical="center" wrapText="1"/>
    </xf>
    <xf numFmtId="178" fontId="232" fillId="0" borderId="0" xfId="219" applyNumberFormat="1" applyFont="1" applyAlignment="1">
      <alignment horizontal="center" vertical="center" wrapText="1"/>
    </xf>
    <xf numFmtId="0" fontId="21" fillId="0" borderId="27" xfId="219" applyFont="1" applyBorder="1" applyAlignment="1">
      <alignment horizontal="center" vertical="center" wrapText="1"/>
    </xf>
    <xf numFmtId="0" fontId="21" fillId="0" borderId="27" xfId="219" applyFont="1" applyBorder="1" applyAlignment="1">
      <alignment horizontal="left" vertical="center" wrapText="1"/>
    </xf>
    <xf numFmtId="0" fontId="74" fillId="0" borderId="0" xfId="219" applyFont="1" applyAlignment="1">
      <alignment horizontal="center" vertical="center" wrapText="1"/>
    </xf>
    <xf numFmtId="0" fontId="21" fillId="0" borderId="0" xfId="219" applyFont="1" applyAlignment="1">
      <alignment vertical="center" wrapText="1"/>
    </xf>
    <xf numFmtId="0" fontId="26" fillId="0" borderId="27" xfId="219" applyFont="1" applyBorder="1" applyAlignment="1">
      <alignment horizontal="center" vertical="center" wrapText="1"/>
    </xf>
    <xf numFmtId="0" fontId="26" fillId="0" borderId="27" xfId="219" applyFont="1" applyBorder="1" applyAlignment="1">
      <alignment horizontal="left" vertical="center" wrapText="1"/>
    </xf>
    <xf numFmtId="0" fontId="235" fillId="0" borderId="27" xfId="219" applyFont="1" applyBorder="1" applyAlignment="1">
      <alignment horizontal="center" vertical="center" wrapText="1"/>
    </xf>
    <xf numFmtId="0" fontId="235" fillId="0" borderId="27" xfId="219" applyFont="1" applyBorder="1" applyAlignment="1">
      <alignment horizontal="left" vertical="center" wrapText="1"/>
    </xf>
    <xf numFmtId="178" fontId="235" fillId="0" borderId="27" xfId="219" applyNumberFormat="1" applyFont="1" applyBorder="1" applyAlignment="1">
      <alignment horizontal="right" vertical="center" wrapText="1"/>
    </xf>
    <xf numFmtId="0" fontId="235" fillId="0" borderId="0" xfId="219" applyFont="1" applyAlignment="1">
      <alignment vertical="center" wrapText="1"/>
    </xf>
    <xf numFmtId="0" fontId="236" fillId="0" borderId="27" xfId="219" applyFont="1" applyBorder="1" applyAlignment="1">
      <alignment horizontal="center" vertical="center" wrapText="1"/>
    </xf>
    <xf numFmtId="178" fontId="236" fillId="0" borderId="27" xfId="219" applyNumberFormat="1" applyFont="1" applyBorder="1" applyAlignment="1">
      <alignment horizontal="right" vertical="center" wrapText="1"/>
    </xf>
    <xf numFmtId="0" fontId="236" fillId="0" borderId="0" xfId="219" applyFont="1" applyAlignment="1">
      <alignment vertical="center" wrapText="1"/>
    </xf>
    <xf numFmtId="0" fontId="32" fillId="0" borderId="27" xfId="219" applyFont="1" applyBorder="1" applyAlignment="1">
      <alignment horizontal="center" vertical="center" wrapText="1"/>
    </xf>
    <xf numFmtId="0" fontId="32" fillId="0" borderId="27" xfId="219" applyFont="1" applyBorder="1" applyAlignment="1">
      <alignment horizontal="left" vertical="center" wrapText="1"/>
    </xf>
    <xf numFmtId="0" fontId="32" fillId="0" borderId="0" xfId="219" applyFont="1" applyAlignment="1">
      <alignment vertical="center" wrapText="1"/>
    </xf>
    <xf numFmtId="0" fontId="237" fillId="0" borderId="27" xfId="219" applyFont="1" applyBorder="1" applyAlignment="1">
      <alignment horizontal="center" vertical="center" wrapText="1"/>
    </xf>
    <xf numFmtId="0" fontId="237" fillId="0" borderId="0" xfId="219" applyFont="1" applyAlignment="1">
      <alignment vertical="center" wrapText="1"/>
    </xf>
    <xf numFmtId="178" fontId="32" fillId="0" borderId="0" xfId="219" applyNumberFormat="1" applyFont="1" applyAlignment="1">
      <alignment vertical="center" wrapText="1"/>
    </xf>
    <xf numFmtId="178" fontId="75" fillId="0" borderId="27" xfId="219" applyNumberFormat="1" applyFont="1" applyBorder="1" applyAlignment="1">
      <alignment horizontal="right" vertical="center" wrapText="1"/>
    </xf>
    <xf numFmtId="178" fontId="32" fillId="0" borderId="27" xfId="219" applyNumberFormat="1" applyFont="1" applyBorder="1" applyAlignment="1">
      <alignment horizontal="right" vertical="center" wrapText="1"/>
    </xf>
    <xf numFmtId="0" fontId="237" fillId="0" borderId="27" xfId="219" applyFont="1" applyBorder="1" applyAlignment="1">
      <alignment horizontal="left" vertical="center" wrapText="1"/>
    </xf>
    <xf numFmtId="178" fontId="237" fillId="0" borderId="27" xfId="219" applyNumberFormat="1" applyFont="1" applyBorder="1" applyAlignment="1">
      <alignment horizontal="right" vertical="center" wrapText="1"/>
    </xf>
    <xf numFmtId="0" fontId="33" fillId="0" borderId="0" xfId="219" applyFont="1" applyAlignment="1">
      <alignment horizontal="center" vertical="center" wrapText="1"/>
    </xf>
    <xf numFmtId="0" fontId="32" fillId="0" borderId="0" xfId="219" applyFont="1" applyAlignment="1">
      <alignment horizontal="center" vertical="center" wrapText="1"/>
    </xf>
    <xf numFmtId="0" fontId="238" fillId="0" borderId="0" xfId="219" applyFont="1" applyAlignment="1">
      <alignment horizontal="center" vertical="center" wrapText="1"/>
    </xf>
    <xf numFmtId="0" fontId="237" fillId="0" borderId="0" xfId="219" applyFont="1" applyAlignment="1">
      <alignment horizontal="center" vertical="center" wrapText="1"/>
    </xf>
    <xf numFmtId="0" fontId="232" fillId="0" borderId="27" xfId="219" applyFont="1" applyBorder="1" applyAlignment="1">
      <alignment vertical="center" wrapText="1"/>
    </xf>
    <xf numFmtId="0" fontId="232" fillId="0" borderId="27" xfId="219" applyFont="1" applyBorder="1" applyAlignment="1">
      <alignment horizontal="right" vertical="center" wrapText="1"/>
    </xf>
    <xf numFmtId="0" fontId="235" fillId="0" borderId="29" xfId="219" applyFont="1" applyBorder="1" applyAlignment="1">
      <alignment horizontal="center" vertical="center" wrapText="1"/>
    </xf>
    <xf numFmtId="0" fontId="235" fillId="0" borderId="29" xfId="219" applyFont="1" applyBorder="1" applyAlignment="1">
      <alignment horizontal="left" vertical="center" wrapText="1"/>
    </xf>
    <xf numFmtId="178" fontId="235" fillId="0" borderId="29" xfId="219" applyNumberFormat="1" applyFont="1" applyBorder="1" applyAlignment="1">
      <alignment horizontal="right" vertical="center" wrapText="1"/>
    </xf>
    <xf numFmtId="0" fontId="235" fillId="0" borderId="29" xfId="219" applyFont="1" applyBorder="1" applyAlignment="1">
      <alignment horizontal="right" vertical="center" wrapText="1"/>
    </xf>
    <xf numFmtId="173" fontId="235" fillId="0" borderId="29" xfId="124" applyNumberFormat="1" applyFont="1" applyBorder="1" applyAlignment="1">
      <alignment horizontal="right" vertical="center" wrapText="1"/>
    </xf>
    <xf numFmtId="173" fontId="232" fillId="0" borderId="0" xfId="124" applyNumberFormat="1" applyFont="1" applyAlignment="1">
      <alignment horizontal="center" vertical="center" wrapText="1"/>
    </xf>
    <xf numFmtId="184" fontId="25" fillId="0" borderId="0" xfId="209" applyNumberFormat="1" applyFont="1" applyAlignment="1">
      <alignment horizontal="center" vertical="center" wrapText="1"/>
    </xf>
    <xf numFmtId="0" fontId="25" fillId="0" borderId="0" xfId="209" applyFont="1" applyAlignment="1">
      <alignment horizontal="center" vertical="center" wrapText="1"/>
    </xf>
    <xf numFmtId="0" fontId="24" fillId="0" borderId="0" xfId="209" applyFont="1" applyAlignment="1">
      <alignment horizontal="center" vertical="center" wrapText="1"/>
    </xf>
    <xf numFmtId="0" fontId="25" fillId="0" borderId="0" xfId="209" applyFont="1" applyAlignment="1">
      <alignment vertical="center" wrapText="1"/>
    </xf>
    <xf numFmtId="0" fontId="24" fillId="0" borderId="0" xfId="209" applyFont="1" applyAlignment="1">
      <alignment vertical="center" wrapText="1"/>
    </xf>
    <xf numFmtId="0" fontId="51" fillId="0" borderId="0" xfId="209" applyFont="1" applyAlignment="1">
      <alignment horizontal="center" vertical="center" wrapText="1"/>
    </xf>
    <xf numFmtId="0" fontId="52" fillId="0" borderId="0" xfId="209" applyFont="1" applyAlignment="1">
      <alignment vertical="center" wrapText="1"/>
    </xf>
    <xf numFmtId="0" fontId="7" fillId="0" borderId="0" xfId="209" applyFont="1" applyAlignment="1">
      <alignment horizontal="center" vertical="center" wrapText="1"/>
    </xf>
    <xf numFmtId="0" fontId="52" fillId="0" borderId="0" xfId="209" applyFont="1" applyAlignment="1">
      <alignment horizontal="center" vertical="center" wrapText="1"/>
    </xf>
    <xf numFmtId="184" fontId="52" fillId="0" borderId="0" xfId="209" applyNumberFormat="1" applyFont="1" applyAlignment="1">
      <alignment horizontal="center" vertical="center" wrapText="1"/>
    </xf>
    <xf numFmtId="180" fontId="52" fillId="0" borderId="0" xfId="209" applyNumberFormat="1" applyFont="1" applyAlignment="1">
      <alignment horizontal="center" vertical="center" wrapText="1"/>
    </xf>
    <xf numFmtId="0" fontId="51" fillId="0" borderId="0" xfId="209" applyFont="1" applyAlignment="1">
      <alignment vertical="center" wrapText="1"/>
    </xf>
    <xf numFmtId="0" fontId="6" fillId="0" borderId="13" xfId="209" applyFont="1" applyBorder="1" applyAlignment="1">
      <alignment horizontal="center" vertical="center" wrapText="1"/>
    </xf>
    <xf numFmtId="0" fontId="7" fillId="0" borderId="13" xfId="209" applyFont="1" applyBorder="1" applyAlignment="1">
      <alignment horizontal="center" vertical="center" wrapText="1"/>
    </xf>
    <xf numFmtId="0" fontId="7" fillId="0" borderId="13" xfId="209" applyFont="1" applyBorder="1" applyAlignment="1">
      <alignment horizontal="centerContinuous" vertical="center" wrapText="1"/>
    </xf>
    <xf numFmtId="0" fontId="11" fillId="0" borderId="13" xfId="209" quotePrefix="1" applyFont="1" applyBorder="1" applyAlignment="1">
      <alignment horizontal="center" vertical="center" wrapText="1" shrinkToFit="1"/>
    </xf>
    <xf numFmtId="0" fontId="76" fillId="0" borderId="13" xfId="209" applyFont="1" applyBorder="1" applyAlignment="1">
      <alignment vertical="center" wrapText="1"/>
    </xf>
    <xf numFmtId="0" fontId="76" fillId="0" borderId="0" xfId="209" applyFont="1" applyAlignment="1">
      <alignment vertical="center" wrapText="1"/>
    </xf>
    <xf numFmtId="0" fontId="6" fillId="0" borderId="13" xfId="209" quotePrefix="1" applyFont="1" applyBorder="1" applyAlignment="1">
      <alignment horizontal="left" vertical="center" wrapText="1" shrinkToFit="1"/>
    </xf>
    <xf numFmtId="178" fontId="6" fillId="0" borderId="13" xfId="120" applyNumberFormat="1" applyFont="1" applyFill="1" applyBorder="1" applyAlignment="1">
      <alignment vertical="center" wrapText="1" shrinkToFit="1"/>
    </xf>
    <xf numFmtId="0" fontId="24" fillId="0" borderId="32" xfId="209" applyFont="1" applyBorder="1" applyAlignment="1">
      <alignment horizontal="left" vertical="center" wrapText="1"/>
    </xf>
    <xf numFmtId="0" fontId="24" fillId="0" borderId="0" xfId="209" applyFont="1" applyAlignment="1">
      <alignment horizontal="left" vertical="center" wrapText="1"/>
    </xf>
    <xf numFmtId="0" fontId="6" fillId="0" borderId="13" xfId="209" applyFont="1" applyBorder="1" applyAlignment="1">
      <alignment horizontal="justify" vertical="center" wrapText="1"/>
    </xf>
    <xf numFmtId="178" fontId="6" fillId="0" borderId="13" xfId="209" applyNumberFormat="1" applyFont="1" applyBorder="1" applyAlignment="1">
      <alignment horizontal="center" vertical="center" wrapText="1" shrinkToFit="1"/>
    </xf>
    <xf numFmtId="0" fontId="6" fillId="0" borderId="13" xfId="209" applyFont="1" applyBorder="1" applyAlignment="1">
      <alignment vertical="center" wrapText="1"/>
    </xf>
    <xf numFmtId="173" fontId="7" fillId="0" borderId="31" xfId="209" applyNumberFormat="1" applyFont="1" applyBorder="1" applyAlignment="1">
      <alignment vertical="center" wrapText="1"/>
    </xf>
    <xf numFmtId="173" fontId="6" fillId="0" borderId="0" xfId="209" applyNumberFormat="1" applyFont="1" applyAlignment="1">
      <alignment vertical="center" wrapText="1"/>
    </xf>
    <xf numFmtId="0" fontId="6" fillId="0" borderId="0" xfId="209" applyFont="1" applyAlignment="1">
      <alignment vertical="center" wrapText="1"/>
    </xf>
    <xf numFmtId="0" fontId="7" fillId="36" borderId="13" xfId="209" applyFont="1" applyFill="1" applyBorder="1" applyAlignment="1">
      <alignment horizontal="center" vertical="center" wrapText="1"/>
    </xf>
    <xf numFmtId="0" fontId="7" fillId="36" borderId="13" xfId="209" applyFont="1" applyFill="1" applyBorder="1" applyAlignment="1">
      <alignment horizontal="justify" vertical="center" wrapText="1"/>
    </xf>
    <xf numFmtId="178" fontId="7" fillId="36" borderId="13" xfId="209" applyNumberFormat="1" applyFont="1" applyFill="1" applyBorder="1" applyAlignment="1">
      <alignment horizontal="center" vertical="center" wrapText="1" shrinkToFit="1"/>
    </xf>
    <xf numFmtId="0" fontId="7" fillId="36" borderId="13" xfId="209" quotePrefix="1" applyFont="1" applyFill="1" applyBorder="1" applyAlignment="1">
      <alignment horizontal="center" vertical="center" wrapText="1"/>
    </xf>
    <xf numFmtId="172" fontId="7" fillId="36" borderId="13" xfId="209" quotePrefix="1" applyNumberFormat="1" applyFont="1" applyFill="1" applyBorder="1" applyAlignment="1">
      <alignment horizontal="center" vertical="center" wrapText="1"/>
    </xf>
    <xf numFmtId="172" fontId="7" fillId="36" borderId="13" xfId="120" applyNumberFormat="1" applyFont="1" applyFill="1" applyBorder="1" applyAlignment="1">
      <alignment vertical="center" wrapText="1"/>
    </xf>
    <xf numFmtId="0" fontId="7" fillId="36" borderId="13" xfId="209" applyFont="1" applyFill="1" applyBorder="1" applyAlignment="1">
      <alignment vertical="center" wrapText="1"/>
    </xf>
    <xf numFmtId="173" fontId="7" fillId="36" borderId="31" xfId="209" applyNumberFormat="1" applyFont="1" applyFill="1" applyBorder="1" applyAlignment="1">
      <alignment vertical="center" wrapText="1"/>
    </xf>
    <xf numFmtId="173" fontId="6" fillId="36" borderId="0" xfId="209" applyNumberFormat="1" applyFont="1" applyFill="1" applyAlignment="1">
      <alignment vertical="center" wrapText="1"/>
    </xf>
    <xf numFmtId="0" fontId="7" fillId="36" borderId="0" xfId="209" applyFont="1" applyFill="1" applyAlignment="1">
      <alignment vertical="center" wrapText="1"/>
    </xf>
    <xf numFmtId="0" fontId="7" fillId="0" borderId="13" xfId="209" applyFont="1" applyBorder="1" applyAlignment="1">
      <alignment horizontal="justify" vertical="center" wrapText="1"/>
    </xf>
    <xf numFmtId="178" fontId="7" fillId="0" borderId="13" xfId="120" applyNumberFormat="1" applyFont="1" applyFill="1" applyBorder="1" applyAlignment="1">
      <alignment horizontal="center" vertical="center" wrapText="1" shrinkToFit="1"/>
    </xf>
    <xf numFmtId="178" fontId="7" fillId="0" borderId="13" xfId="120" applyNumberFormat="1" applyFont="1" applyFill="1" applyBorder="1" applyAlignment="1">
      <alignment horizontal="right" vertical="center" wrapText="1" shrinkToFit="1"/>
    </xf>
    <xf numFmtId="0" fontId="7" fillId="0" borderId="13" xfId="209" applyFont="1" applyBorder="1" applyAlignment="1">
      <alignment vertical="center" wrapText="1"/>
    </xf>
    <xf numFmtId="0" fontId="7" fillId="0" borderId="0" xfId="209" applyFont="1" applyAlignment="1">
      <alignment vertical="center" wrapText="1"/>
    </xf>
    <xf numFmtId="0" fontId="7" fillId="36" borderId="13" xfId="209" quotePrefix="1" applyFont="1" applyFill="1" applyBorder="1" applyAlignment="1">
      <alignment horizontal="left" vertical="center" wrapText="1"/>
    </xf>
    <xf numFmtId="0" fontId="7" fillId="36" borderId="13" xfId="209" applyFont="1" applyFill="1" applyBorder="1" applyAlignment="1">
      <alignment horizontal="left" vertical="center" wrapText="1"/>
    </xf>
    <xf numFmtId="178" fontId="7" fillId="36" borderId="13" xfId="120" applyNumberFormat="1" applyFont="1" applyFill="1" applyBorder="1" applyAlignment="1">
      <alignment horizontal="center" vertical="center" wrapText="1" shrinkToFit="1"/>
    </xf>
    <xf numFmtId="172" fontId="7" fillId="36" borderId="13" xfId="120" applyNumberFormat="1" applyFont="1" applyFill="1" applyBorder="1" applyAlignment="1">
      <alignment horizontal="left" vertical="center" wrapText="1"/>
    </xf>
    <xf numFmtId="173" fontId="7" fillId="36" borderId="31" xfId="209" applyNumberFormat="1" applyFont="1" applyFill="1" applyBorder="1" applyAlignment="1">
      <alignment horizontal="left" vertical="center" wrapText="1"/>
    </xf>
    <xf numFmtId="173" fontId="7" fillId="36" borderId="0" xfId="209" applyNumberFormat="1" applyFont="1" applyFill="1" applyAlignment="1">
      <alignment horizontal="left" vertical="center" wrapText="1"/>
    </xf>
    <xf numFmtId="0" fontId="7" fillId="36" borderId="0" xfId="209" applyFont="1" applyFill="1" applyAlignment="1">
      <alignment horizontal="left" vertical="center" wrapText="1"/>
    </xf>
    <xf numFmtId="172" fontId="6" fillId="36" borderId="13" xfId="120" applyNumberFormat="1" applyFont="1" applyFill="1" applyBorder="1" applyAlignment="1">
      <alignment horizontal="center" vertical="center" wrapText="1" shrinkToFit="1"/>
    </xf>
    <xf numFmtId="0" fontId="6" fillId="36" borderId="0" xfId="209" applyFont="1" applyFill="1" applyAlignment="1">
      <alignment vertical="center" wrapText="1"/>
    </xf>
    <xf numFmtId="0" fontId="7" fillId="0" borderId="13" xfId="209" quotePrefix="1" applyFont="1" applyBorder="1" applyAlignment="1">
      <alignment horizontal="center" vertical="center" wrapText="1"/>
    </xf>
    <xf numFmtId="178" fontId="7" fillId="0" borderId="13" xfId="209" applyNumberFormat="1" applyFont="1" applyBorder="1" applyAlignment="1">
      <alignment horizontal="center" vertical="center" wrapText="1" shrinkToFit="1"/>
    </xf>
    <xf numFmtId="178" fontId="7" fillId="0" borderId="13" xfId="120" applyNumberFormat="1" applyFont="1" applyFill="1" applyBorder="1" applyAlignment="1">
      <alignment vertical="center" wrapText="1" shrinkToFit="1"/>
    </xf>
    <xf numFmtId="172" fontId="7" fillId="0" borderId="13" xfId="120" applyNumberFormat="1" applyFont="1" applyFill="1" applyBorder="1" applyAlignment="1">
      <alignment vertical="center" wrapText="1"/>
    </xf>
    <xf numFmtId="178" fontId="7" fillId="0" borderId="13" xfId="209" applyNumberFormat="1" applyFont="1" applyBorder="1" applyAlignment="1">
      <alignment horizontal="right" vertical="center" wrapText="1" shrinkToFit="1"/>
    </xf>
    <xf numFmtId="169" fontId="7" fillId="36" borderId="13" xfId="112" applyFont="1" applyFill="1" applyBorder="1" applyAlignment="1">
      <alignment horizontal="center" vertical="center" wrapText="1" shrinkToFit="1"/>
    </xf>
    <xf numFmtId="173" fontId="7" fillId="36" borderId="0" xfId="209" applyNumberFormat="1" applyFont="1" applyFill="1" applyAlignment="1">
      <alignment vertical="center" wrapText="1"/>
    </xf>
    <xf numFmtId="172" fontId="7" fillId="36" borderId="13" xfId="120" applyNumberFormat="1" applyFont="1" applyFill="1" applyBorder="1" applyAlignment="1">
      <alignment horizontal="center" vertical="center" wrapText="1" shrinkToFit="1"/>
    </xf>
    <xf numFmtId="173" fontId="7" fillId="0" borderId="0" xfId="209" applyNumberFormat="1" applyFont="1" applyAlignment="1">
      <alignment vertical="center" wrapText="1"/>
    </xf>
    <xf numFmtId="172" fontId="7" fillId="0" borderId="13" xfId="120" applyNumberFormat="1" applyFont="1" applyFill="1" applyBorder="1" applyAlignment="1">
      <alignment horizontal="center" vertical="center" wrapText="1" shrinkToFit="1"/>
    </xf>
    <xf numFmtId="178" fontId="6" fillId="0" borderId="13" xfId="120" applyNumberFormat="1" applyFont="1" applyFill="1" applyBorder="1" applyAlignment="1">
      <alignment horizontal="center" vertical="center" wrapText="1" shrinkToFit="1"/>
    </xf>
    <xf numFmtId="178" fontId="7" fillId="36" borderId="13" xfId="120" applyNumberFormat="1" applyFont="1" applyFill="1" applyBorder="1" applyAlignment="1">
      <alignment vertical="center" wrapText="1" shrinkToFit="1"/>
    </xf>
    <xf numFmtId="173" fontId="7" fillId="0" borderId="13" xfId="120" applyNumberFormat="1" applyFont="1" applyFill="1" applyBorder="1" applyAlignment="1">
      <alignment horizontal="right" vertical="center" wrapText="1" shrinkToFit="1"/>
    </xf>
    <xf numFmtId="0" fontId="6" fillId="0" borderId="13" xfId="209" applyFont="1" applyBorder="1" applyAlignment="1">
      <alignment horizontal="left" vertical="center" wrapText="1"/>
    </xf>
    <xf numFmtId="172" fontId="6" fillId="0" borderId="13" xfId="120" applyNumberFormat="1" applyFont="1" applyFill="1" applyBorder="1" applyAlignment="1">
      <alignment vertical="center" wrapText="1"/>
    </xf>
    <xf numFmtId="0" fontId="7" fillId="0" borderId="31" xfId="209" applyFont="1" applyBorder="1" applyAlignment="1">
      <alignment vertical="center" wrapText="1"/>
    </xf>
    <xf numFmtId="0" fontId="7" fillId="36" borderId="13" xfId="209" quotePrefix="1" applyFont="1" applyFill="1" applyBorder="1" applyAlignment="1">
      <alignment horizontal="justify" vertical="center" wrapText="1"/>
    </xf>
    <xf numFmtId="0" fontId="183" fillId="36" borderId="13" xfId="226" applyFont="1" applyFill="1" applyBorder="1" applyAlignment="1">
      <alignment horizontal="center" vertical="center" wrapText="1"/>
    </xf>
    <xf numFmtId="0" fontId="183" fillId="36" borderId="13" xfId="226" applyFont="1" applyFill="1" applyBorder="1" applyAlignment="1">
      <alignment horizontal="justify" vertical="center" wrapText="1"/>
    </xf>
    <xf numFmtId="186" fontId="183" fillId="36" borderId="13" xfId="226" applyNumberFormat="1" applyFont="1" applyFill="1" applyBorder="1" applyAlignment="1">
      <alignment horizontal="center" vertical="center" wrapText="1"/>
    </xf>
    <xf numFmtId="172" fontId="183" fillId="36" borderId="13" xfId="226" applyNumberFormat="1" applyFont="1" applyFill="1" applyBorder="1" applyAlignment="1">
      <alignment horizontal="center" vertical="center" wrapText="1"/>
    </xf>
    <xf numFmtId="172" fontId="7" fillId="36" borderId="13" xfId="226" applyNumberFormat="1" applyFont="1" applyFill="1" applyBorder="1" applyAlignment="1">
      <alignment horizontal="center" vertical="center" wrapText="1"/>
    </xf>
    <xf numFmtId="173" fontId="7" fillId="36" borderId="13" xfId="226" applyNumberFormat="1" applyFont="1" applyFill="1" applyBorder="1" applyAlignment="1">
      <alignment horizontal="center" vertical="center" wrapText="1"/>
    </xf>
    <xf numFmtId="172" fontId="183" fillId="36" borderId="13" xfId="226" applyNumberFormat="1" applyFont="1" applyFill="1" applyBorder="1" applyAlignment="1">
      <alignment horizontal="right" vertical="center" wrapText="1"/>
    </xf>
    <xf numFmtId="172" fontId="200" fillId="36" borderId="13" xfId="226" applyNumberFormat="1" applyFont="1" applyFill="1" applyBorder="1" applyAlignment="1">
      <alignment horizontal="center" vertical="center" wrapText="1"/>
    </xf>
    <xf numFmtId="185" fontId="183" fillId="36" borderId="0" xfId="226" applyNumberFormat="1" applyFont="1" applyFill="1"/>
    <xf numFmtId="0" fontId="183" fillId="36" borderId="0" xfId="226" applyFont="1" applyFill="1"/>
    <xf numFmtId="0" fontId="172" fillId="0" borderId="13" xfId="209" quotePrefix="1" applyFont="1" applyBorder="1" applyAlignment="1">
      <alignment horizontal="center" vertical="center" wrapText="1"/>
    </xf>
    <xf numFmtId="0" fontId="172" fillId="0" borderId="13" xfId="209" quotePrefix="1" applyFont="1" applyBorder="1" applyAlignment="1">
      <alignment horizontal="justify" vertical="center" wrapText="1"/>
    </xf>
    <xf numFmtId="0" fontId="172" fillId="0" borderId="13" xfId="209" applyFont="1" applyBorder="1" applyAlignment="1">
      <alignment horizontal="justify" vertical="center" wrapText="1"/>
    </xf>
    <xf numFmtId="0" fontId="172" fillId="0" borderId="13" xfId="209" applyFont="1" applyBorder="1" applyAlignment="1">
      <alignment horizontal="center" vertical="center" wrapText="1"/>
    </xf>
    <xf numFmtId="178" fontId="172" fillId="0" borderId="13" xfId="209" applyNumberFormat="1" applyFont="1" applyBorder="1" applyAlignment="1">
      <alignment horizontal="center" vertical="center" wrapText="1" shrinkToFit="1"/>
    </xf>
    <xf numFmtId="178" fontId="172" fillId="0" borderId="13" xfId="120" applyNumberFormat="1" applyFont="1" applyFill="1" applyBorder="1" applyAlignment="1">
      <alignment vertical="center" wrapText="1" shrinkToFit="1"/>
    </xf>
    <xf numFmtId="172" fontId="172" fillId="0" borderId="13" xfId="120" applyNumberFormat="1" applyFont="1" applyFill="1" applyBorder="1" applyAlignment="1">
      <alignment vertical="center" wrapText="1"/>
    </xf>
    <xf numFmtId="172" fontId="172" fillId="0" borderId="13" xfId="112" applyNumberFormat="1" applyFont="1" applyFill="1" applyBorder="1" applyAlignment="1">
      <alignment horizontal="left" vertical="center" wrapText="1" shrinkToFit="1"/>
    </xf>
    <xf numFmtId="173" fontId="172" fillId="0" borderId="31" xfId="209" applyNumberFormat="1" applyFont="1" applyBorder="1" applyAlignment="1">
      <alignment vertical="center" wrapText="1"/>
    </xf>
    <xf numFmtId="173" fontId="176" fillId="0" borderId="0" xfId="209" applyNumberFormat="1" applyFont="1" applyAlignment="1">
      <alignment vertical="center" wrapText="1"/>
    </xf>
    <xf numFmtId="0" fontId="172" fillId="0" borderId="0" xfId="209" applyFont="1" applyAlignment="1">
      <alignment vertical="center" wrapText="1"/>
    </xf>
    <xf numFmtId="0" fontId="172" fillId="0" borderId="13" xfId="209" quotePrefix="1" applyFont="1" applyBorder="1" applyAlignment="1">
      <alignment vertical="center" wrapText="1"/>
    </xf>
    <xf numFmtId="0" fontId="172" fillId="0" borderId="13" xfId="209" applyFont="1" applyBorder="1" applyAlignment="1">
      <alignment vertical="center" wrapText="1"/>
    </xf>
    <xf numFmtId="178" fontId="172" fillId="0" borderId="13" xfId="120" applyNumberFormat="1" applyFont="1" applyFill="1" applyBorder="1" applyAlignment="1">
      <alignment horizontal="center" vertical="center" wrapText="1" shrinkToFit="1"/>
    </xf>
    <xf numFmtId="173" fontId="172" fillId="0" borderId="0" xfId="209" applyNumberFormat="1" applyFont="1" applyAlignment="1">
      <alignment vertical="center" wrapText="1"/>
    </xf>
    <xf numFmtId="0" fontId="172" fillId="0" borderId="13" xfId="204" applyFont="1" applyBorder="1" applyAlignment="1">
      <alignment vertical="center" wrapText="1"/>
    </xf>
    <xf numFmtId="0" fontId="172" fillId="0" borderId="13" xfId="204" quotePrefix="1" applyFont="1" applyBorder="1" applyAlignment="1">
      <alignment vertical="center" wrapText="1"/>
    </xf>
    <xf numFmtId="178" fontId="172" fillId="0" borderId="13" xfId="209" applyNumberFormat="1" applyFont="1" applyBorder="1" applyAlignment="1">
      <alignment horizontal="right" vertical="center" wrapText="1" shrinkToFit="1"/>
    </xf>
    <xf numFmtId="173" fontId="172" fillId="0" borderId="25" xfId="209" applyNumberFormat="1" applyFont="1" applyBorder="1" applyAlignment="1">
      <alignment vertical="center" wrapText="1"/>
    </xf>
    <xf numFmtId="0" fontId="7" fillId="36" borderId="13" xfId="204" applyFont="1" applyFill="1" applyBorder="1" applyAlignment="1">
      <alignment horizontal="left" vertical="center" wrapText="1"/>
    </xf>
    <xf numFmtId="179" fontId="7" fillId="36" borderId="13" xfId="120" applyNumberFormat="1" applyFont="1" applyFill="1" applyBorder="1" applyAlignment="1">
      <alignment horizontal="center" vertical="center" wrapText="1" shrinkToFit="1"/>
    </xf>
    <xf numFmtId="172" fontId="7" fillId="36" borderId="13" xfId="112" applyNumberFormat="1" applyFont="1" applyFill="1" applyBorder="1" applyAlignment="1">
      <alignment horizontal="left" vertical="center" wrapText="1" shrinkToFit="1"/>
    </xf>
    <xf numFmtId="178" fontId="172" fillId="36" borderId="13" xfId="120" applyNumberFormat="1" applyFont="1" applyFill="1" applyBorder="1" applyAlignment="1">
      <alignment horizontal="center" vertical="center" wrapText="1" shrinkToFit="1"/>
    </xf>
    <xf numFmtId="178" fontId="172" fillId="0" borderId="13" xfId="120" applyNumberFormat="1" applyFont="1" applyFill="1" applyBorder="1" applyAlignment="1">
      <alignment horizontal="right" vertical="center" wrapText="1" shrinkToFit="1"/>
    </xf>
    <xf numFmtId="0" fontId="172" fillId="0" borderId="13" xfId="204" quotePrefix="1" applyFont="1" applyBorder="1" applyAlignment="1">
      <alignment horizontal="left" vertical="center" wrapText="1"/>
    </xf>
    <xf numFmtId="172" fontId="172" fillId="0" borderId="13" xfId="120" applyNumberFormat="1" applyFont="1" applyFill="1" applyBorder="1" applyAlignment="1">
      <alignment horizontal="center" vertical="center" wrapText="1" shrinkToFit="1"/>
    </xf>
    <xf numFmtId="173" fontId="172" fillId="0" borderId="13" xfId="120" applyNumberFormat="1" applyFont="1" applyFill="1" applyBorder="1" applyAlignment="1">
      <alignment horizontal="right" vertical="center" wrapText="1" shrinkToFit="1"/>
    </xf>
    <xf numFmtId="178" fontId="176" fillId="0" borderId="13" xfId="120" applyNumberFormat="1" applyFont="1" applyFill="1" applyBorder="1" applyAlignment="1">
      <alignment vertical="center" wrapText="1" shrinkToFit="1"/>
    </xf>
    <xf numFmtId="0" fontId="172" fillId="0" borderId="13" xfId="209" quotePrefix="1" applyFont="1" applyBorder="1" applyAlignment="1">
      <alignment horizontal="left" vertical="center" wrapText="1"/>
    </xf>
    <xf numFmtId="0" fontId="172" fillId="0" borderId="13" xfId="209" applyFont="1" applyBorder="1" applyAlignment="1">
      <alignment horizontal="left" vertical="center" wrapText="1"/>
    </xf>
    <xf numFmtId="0" fontId="7" fillId="35" borderId="0" xfId="0" applyFont="1" applyFill="1" applyAlignment="1">
      <alignment vertical="center" wrapText="1"/>
    </xf>
    <xf numFmtId="0" fontId="172" fillId="35" borderId="0" xfId="0" applyFont="1" applyFill="1" applyAlignment="1">
      <alignment vertical="center" wrapText="1"/>
    </xf>
    <xf numFmtId="0" fontId="200" fillId="35" borderId="0" xfId="0" applyFont="1" applyFill="1" applyAlignment="1">
      <alignment vertical="center" wrapText="1"/>
    </xf>
    <xf numFmtId="0" fontId="7" fillId="35" borderId="13" xfId="232" applyFont="1" applyFill="1" applyBorder="1" applyAlignment="1">
      <alignment horizontal="left" vertical="center" wrapText="1"/>
    </xf>
    <xf numFmtId="167" fontId="42" fillId="0" borderId="0" xfId="0" applyNumberFormat="1" applyFont="1"/>
    <xf numFmtId="0" fontId="8" fillId="0" borderId="0" xfId="0" applyFont="1" applyAlignment="1">
      <alignment horizontal="center"/>
    </xf>
    <xf numFmtId="0" fontId="8" fillId="0" borderId="0" xfId="233" applyFont="1" applyAlignment="1">
      <alignment vertical="center" wrapText="1"/>
    </xf>
    <xf numFmtId="3" fontId="6" fillId="0" borderId="13" xfId="233" applyNumberFormat="1" applyFont="1" applyBorder="1" applyAlignment="1">
      <alignment horizontal="center" vertical="center" wrapText="1"/>
    </xf>
    <xf numFmtId="0" fontId="6" fillId="0" borderId="25" xfId="233" applyFont="1" applyBorder="1" applyAlignment="1">
      <alignment horizontal="center" vertical="center" wrapText="1"/>
    </xf>
    <xf numFmtId="0" fontId="6" fillId="0" borderId="28" xfId="233" applyFont="1" applyBorder="1" applyAlignment="1">
      <alignment horizontal="center" vertical="center" wrapText="1"/>
    </xf>
    <xf numFmtId="0" fontId="6" fillId="0" borderId="28" xfId="233" applyFont="1" applyBorder="1" applyAlignment="1">
      <alignment horizontal="left" vertical="center" wrapText="1"/>
    </xf>
    <xf numFmtId="0" fontId="7" fillId="0" borderId="27" xfId="233" applyFont="1" applyBorder="1" applyAlignment="1">
      <alignment horizontal="left" vertical="center" wrapText="1"/>
    </xf>
    <xf numFmtId="0" fontId="6" fillId="0" borderId="27" xfId="233" applyFont="1" applyBorder="1" applyAlignment="1">
      <alignment horizontal="left" vertical="center" wrapText="1"/>
    </xf>
    <xf numFmtId="0" fontId="6" fillId="0" borderId="29" xfId="233" applyFont="1" applyBorder="1" applyAlignment="1">
      <alignment horizontal="center" vertical="center" wrapText="1"/>
    </xf>
    <xf numFmtId="0" fontId="6" fillId="0" borderId="29" xfId="233" applyFont="1" applyBorder="1" applyAlignment="1">
      <alignment vertical="center" wrapText="1"/>
    </xf>
    <xf numFmtId="0" fontId="2" fillId="35" borderId="0" xfId="0" applyFont="1" applyFill="1" applyAlignment="1">
      <alignment horizontal="center"/>
    </xf>
    <xf numFmtId="169" fontId="4" fillId="35" borderId="0" xfId="103" applyFont="1" applyFill="1"/>
    <xf numFmtId="169" fontId="2" fillId="35" borderId="0" xfId="103" applyFont="1" applyFill="1"/>
    <xf numFmtId="0" fontId="5" fillId="35" borderId="0" xfId="0" applyFont="1" applyFill="1" applyAlignment="1">
      <alignment horizontal="center" vertical="center" wrapText="1"/>
    </xf>
    <xf numFmtId="0" fontId="5" fillId="35" borderId="24" xfId="0" applyFont="1" applyFill="1" applyBorder="1" applyAlignment="1">
      <alignment horizontal="center" vertical="center" wrapText="1"/>
    </xf>
    <xf numFmtId="0" fontId="6" fillId="35" borderId="0" xfId="0" applyFont="1" applyFill="1" applyAlignment="1">
      <alignment horizontal="center"/>
    </xf>
    <xf numFmtId="0" fontId="6" fillId="35" borderId="0" xfId="0" applyFont="1" applyFill="1"/>
    <xf numFmtId="0" fontId="176" fillId="35" borderId="0" xfId="0" applyFont="1" applyFill="1"/>
    <xf numFmtId="173" fontId="239" fillId="35" borderId="13" xfId="0" applyNumberFormat="1" applyFont="1" applyFill="1" applyBorder="1" applyAlignment="1">
      <alignment horizontal="center" vertical="center" wrapText="1"/>
    </xf>
    <xf numFmtId="173" fontId="239" fillId="35" borderId="13" xfId="103" applyNumberFormat="1" applyFont="1" applyFill="1" applyBorder="1" applyAlignment="1">
      <alignment vertical="center" wrapText="1"/>
    </xf>
    <xf numFmtId="173" fontId="10" fillId="35" borderId="13" xfId="0" applyNumberFormat="1" applyFont="1" applyFill="1" applyBorder="1" applyAlignment="1">
      <alignment horizontal="center" vertical="center" wrapText="1"/>
    </xf>
    <xf numFmtId="173" fontId="10" fillId="35" borderId="13" xfId="103" applyNumberFormat="1" applyFont="1" applyFill="1" applyBorder="1" applyAlignment="1">
      <alignment vertical="center" wrapText="1"/>
    </xf>
    <xf numFmtId="0" fontId="6" fillId="35" borderId="0" xfId="0" applyFont="1" applyFill="1" applyAlignment="1">
      <alignment vertical="center" wrapText="1"/>
    </xf>
    <xf numFmtId="0" fontId="11" fillId="35" borderId="0" xfId="0" applyFont="1" applyFill="1" applyAlignment="1">
      <alignment vertical="center" wrapText="1"/>
    </xf>
    <xf numFmtId="185" fontId="7" fillId="35" borderId="0" xfId="0" applyNumberFormat="1" applyFont="1" applyFill="1" applyAlignment="1">
      <alignment vertical="center" wrapText="1"/>
    </xf>
    <xf numFmtId="185" fontId="172" fillId="35" borderId="0" xfId="0" applyNumberFormat="1" applyFont="1" applyFill="1" applyAlignment="1">
      <alignment vertical="center" wrapText="1"/>
    </xf>
    <xf numFmtId="0" fontId="7" fillId="35" borderId="13" xfId="0" applyFont="1" applyFill="1" applyBorder="1" applyAlignment="1">
      <alignment vertical="center" wrapText="1"/>
    </xf>
    <xf numFmtId="0" fontId="7" fillId="35" borderId="13" xfId="213" applyFont="1" applyFill="1" applyBorder="1" applyAlignment="1">
      <alignment vertical="center" wrapText="1"/>
    </xf>
    <xf numFmtId="173" fontId="9" fillId="35" borderId="13" xfId="103" applyNumberFormat="1" applyFont="1" applyFill="1" applyBorder="1" applyAlignment="1">
      <alignment vertical="center" wrapText="1"/>
    </xf>
    <xf numFmtId="0" fontId="7" fillId="35" borderId="0" xfId="0" applyFont="1" applyFill="1"/>
    <xf numFmtId="0" fontId="172" fillId="35" borderId="0" xfId="0" applyFont="1" applyFill="1"/>
    <xf numFmtId="173" fontId="240" fillId="35" borderId="13" xfId="103" applyNumberFormat="1" applyFont="1" applyFill="1" applyBorder="1" applyAlignment="1">
      <alignment vertical="center" wrapText="1"/>
    </xf>
    <xf numFmtId="0" fontId="3" fillId="35" borderId="0" xfId="0" applyFont="1" applyFill="1" applyAlignment="1">
      <alignment horizontal="center"/>
    </xf>
    <xf numFmtId="0" fontId="3" fillId="35" borderId="0" xfId="0" applyFont="1" applyFill="1"/>
    <xf numFmtId="169" fontId="8" fillId="35" borderId="0" xfId="103" applyFont="1" applyFill="1"/>
    <xf numFmtId="169" fontId="9" fillId="35" borderId="0" xfId="103" applyFont="1" applyFill="1"/>
    <xf numFmtId="173" fontId="240" fillId="35" borderId="13" xfId="103" applyNumberFormat="1" applyFont="1" applyFill="1" applyBorder="1" applyAlignment="1">
      <alignment horizontal="center" vertical="center" wrapText="1"/>
    </xf>
    <xf numFmtId="173" fontId="241" fillId="35" borderId="13" xfId="103" applyNumberFormat="1" applyFont="1" applyFill="1" applyBorder="1" applyAlignment="1">
      <alignment horizontal="center" vertical="center" wrapText="1"/>
    </xf>
    <xf numFmtId="173" fontId="9" fillId="35" borderId="13" xfId="103" applyNumberFormat="1" applyFont="1" applyFill="1" applyBorder="1" applyAlignment="1">
      <alignment horizontal="center" vertical="center" wrapText="1"/>
    </xf>
    <xf numFmtId="0" fontId="10" fillId="35" borderId="13" xfId="0" applyFont="1" applyFill="1" applyBorder="1" applyAlignment="1">
      <alignment horizontal="center" vertical="center" wrapText="1"/>
    </xf>
    <xf numFmtId="173" fontId="6" fillId="35" borderId="13" xfId="0" applyNumberFormat="1"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13" xfId="0" applyFont="1" applyFill="1" applyBorder="1" applyAlignment="1">
      <alignment horizontal="center"/>
    </xf>
    <xf numFmtId="0" fontId="6" fillId="35" borderId="13" xfId="0" applyFont="1" applyFill="1" applyBorder="1"/>
    <xf numFmtId="0" fontId="176" fillId="35" borderId="13" xfId="0" applyFont="1" applyFill="1" applyBorder="1" applyAlignment="1">
      <alignment horizontal="center"/>
    </xf>
    <xf numFmtId="0" fontId="17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73" fontId="9" fillId="35" borderId="13" xfId="0" applyNumberFormat="1"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5" borderId="13" xfId="0" applyFont="1" applyFill="1" applyBorder="1" applyAlignment="1">
      <alignment vertical="center" wrapText="1"/>
    </xf>
    <xf numFmtId="172" fontId="17" fillId="35" borderId="13" xfId="103" applyNumberFormat="1" applyFont="1" applyFill="1" applyBorder="1" applyAlignment="1">
      <alignment vertical="center" wrapText="1"/>
    </xf>
    <xf numFmtId="173" fontId="17" fillId="35" borderId="13" xfId="103" applyNumberFormat="1" applyFont="1" applyFill="1" applyBorder="1" applyAlignment="1">
      <alignment vertical="center" wrapText="1"/>
    </xf>
    <xf numFmtId="0" fontId="7" fillId="35" borderId="13" xfId="0" quotePrefix="1" applyFont="1" applyFill="1" applyBorder="1" applyAlignment="1">
      <alignment horizontal="center" vertical="center" wrapText="1"/>
    </xf>
    <xf numFmtId="172" fontId="9" fillId="35" borderId="13" xfId="0" applyNumberFormat="1" applyFont="1" applyFill="1" applyBorder="1" applyAlignment="1">
      <alignment horizontal="center" vertical="center" wrapText="1"/>
    </xf>
    <xf numFmtId="172" fontId="9" fillId="35" borderId="13" xfId="103" applyNumberFormat="1" applyFont="1" applyFill="1" applyBorder="1" applyAlignment="1">
      <alignment vertical="center" wrapText="1"/>
    </xf>
    <xf numFmtId="0" fontId="172" fillId="35" borderId="13" xfId="0" quotePrefix="1" applyFont="1" applyFill="1" applyBorder="1" applyAlignment="1">
      <alignment horizontal="center" vertical="center" wrapText="1"/>
    </xf>
    <xf numFmtId="0" fontId="172" fillId="35" borderId="13" xfId="0" applyFont="1" applyFill="1" applyBorder="1" applyAlignment="1">
      <alignment vertical="center" wrapText="1"/>
    </xf>
    <xf numFmtId="0" fontId="172" fillId="35" borderId="13" xfId="0" applyFont="1" applyFill="1" applyBorder="1" applyAlignment="1">
      <alignment horizontal="center" vertical="center" wrapText="1"/>
    </xf>
    <xf numFmtId="172" fontId="240" fillId="35" borderId="13" xfId="0" applyNumberFormat="1" applyFont="1" applyFill="1" applyBorder="1" applyAlignment="1">
      <alignment horizontal="center" vertical="center" wrapText="1"/>
    </xf>
    <xf numFmtId="173" fontId="240" fillId="35" borderId="13" xfId="0" applyNumberFormat="1" applyFont="1" applyFill="1" applyBorder="1" applyAlignment="1">
      <alignment horizontal="center" vertical="center" wrapText="1"/>
    </xf>
    <xf numFmtId="172" fontId="240" fillId="35" borderId="13" xfId="103" applyNumberFormat="1" applyFont="1" applyFill="1" applyBorder="1" applyAlignment="1">
      <alignment vertical="center" wrapText="1"/>
    </xf>
    <xf numFmtId="172" fontId="7" fillId="35" borderId="13" xfId="103" applyNumberFormat="1" applyFont="1" applyFill="1" applyBorder="1" applyAlignment="1">
      <alignment horizontal="center" vertical="center" wrapText="1"/>
    </xf>
    <xf numFmtId="169" fontId="7" fillId="35" borderId="13" xfId="103" applyFont="1" applyFill="1" applyBorder="1" applyAlignment="1">
      <alignment horizontal="center" vertical="center" wrapText="1"/>
    </xf>
    <xf numFmtId="172" fontId="172" fillId="35" borderId="13" xfId="103" applyNumberFormat="1" applyFont="1" applyFill="1" applyBorder="1" applyAlignment="1">
      <alignment horizontal="center" vertical="center" wrapText="1"/>
    </xf>
    <xf numFmtId="169" fontId="172" fillId="35" borderId="13" xfId="103" applyFont="1" applyFill="1" applyBorder="1" applyAlignment="1">
      <alignment horizontal="center" vertical="center" wrapText="1"/>
    </xf>
    <xf numFmtId="175" fontId="9" fillId="35" borderId="13" xfId="103" applyNumberFormat="1" applyFont="1" applyFill="1" applyBorder="1" applyAlignment="1">
      <alignment vertical="center" wrapText="1"/>
    </xf>
    <xf numFmtId="172" fontId="7" fillId="35" borderId="13" xfId="103" applyNumberFormat="1" applyFont="1" applyFill="1" applyBorder="1" applyAlignment="1">
      <alignment horizontal="center" vertical="center"/>
    </xf>
    <xf numFmtId="172" fontId="172" fillId="35" borderId="13" xfId="103" applyNumberFormat="1" applyFont="1" applyFill="1" applyBorder="1" applyAlignment="1">
      <alignment horizontal="center" vertical="center"/>
    </xf>
    <xf numFmtId="169" fontId="9" fillId="35" borderId="13" xfId="0" applyNumberFormat="1" applyFont="1" applyFill="1" applyBorder="1" applyAlignment="1">
      <alignment horizontal="center" vertical="center" wrapText="1"/>
    </xf>
    <xf numFmtId="169" fontId="9" fillId="35" borderId="13" xfId="103" applyFont="1" applyFill="1" applyBorder="1" applyAlignment="1">
      <alignment vertical="center" wrapText="1"/>
    </xf>
    <xf numFmtId="169" fontId="240" fillId="35" borderId="13" xfId="0" applyNumberFormat="1" applyFont="1" applyFill="1" applyBorder="1" applyAlignment="1">
      <alignment horizontal="center" vertical="center" wrapText="1"/>
    </xf>
    <xf numFmtId="169" fontId="240" fillId="35" borderId="13" xfId="103" applyFont="1" applyFill="1" applyBorder="1" applyAlignment="1">
      <alignment vertical="center" wrapText="1"/>
    </xf>
    <xf numFmtId="0" fontId="7" fillId="35" borderId="13" xfId="218" applyFont="1" applyFill="1" applyBorder="1" applyAlignment="1">
      <alignment vertical="center" wrapText="1"/>
    </xf>
    <xf numFmtId="0" fontId="7" fillId="35" borderId="13" xfId="218" applyFont="1" applyFill="1" applyBorder="1" applyAlignment="1">
      <alignment horizontal="center" vertical="center" wrapText="1"/>
    </xf>
    <xf numFmtId="0" fontId="172" fillId="35" borderId="13" xfId="218" applyFont="1" applyFill="1" applyBorder="1" applyAlignment="1">
      <alignment vertical="center" wrapText="1"/>
    </xf>
    <xf numFmtId="0" fontId="172" fillId="35" borderId="13" xfId="218" applyFont="1" applyFill="1" applyBorder="1" applyAlignment="1">
      <alignment horizontal="center" vertical="center" wrapText="1"/>
    </xf>
    <xf numFmtId="173" fontId="240" fillId="35" borderId="13" xfId="218" applyNumberFormat="1" applyFont="1" applyFill="1" applyBorder="1" applyAlignment="1">
      <alignment horizontal="center" vertical="center" wrapText="1"/>
    </xf>
    <xf numFmtId="173" fontId="172" fillId="35" borderId="13" xfId="103" applyNumberFormat="1" applyFont="1" applyFill="1" applyBorder="1" applyAlignment="1">
      <alignment vertical="center" wrapText="1"/>
    </xf>
    <xf numFmtId="0" fontId="200" fillId="35" borderId="13" xfId="0" applyFont="1" applyFill="1" applyBorder="1" applyAlignment="1">
      <alignment horizontal="center" vertical="center" wrapText="1"/>
    </xf>
    <xf numFmtId="0" fontId="200" fillId="35" borderId="13" xfId="0" applyFont="1" applyFill="1" applyBorder="1" applyAlignment="1">
      <alignment vertical="center" wrapText="1"/>
    </xf>
    <xf numFmtId="0" fontId="183" fillId="35" borderId="13" xfId="0" applyFont="1" applyFill="1" applyBorder="1" applyAlignment="1">
      <alignment horizontal="center" vertical="center" wrapText="1"/>
    </xf>
    <xf numFmtId="173" fontId="241" fillId="35" borderId="13" xfId="103" applyNumberFormat="1" applyFont="1" applyFill="1" applyBorder="1" applyAlignment="1">
      <alignment vertical="center" wrapText="1"/>
    </xf>
    <xf numFmtId="173" fontId="7" fillId="35" borderId="13" xfId="103" applyNumberFormat="1" applyFont="1" applyFill="1" applyBorder="1" applyAlignment="1">
      <alignment vertical="center" wrapText="1"/>
    </xf>
    <xf numFmtId="173" fontId="7" fillId="35" borderId="13" xfId="103" applyNumberFormat="1" applyFont="1" applyFill="1" applyBorder="1" applyAlignment="1">
      <alignment horizontal="center" vertical="center" wrapText="1"/>
    </xf>
    <xf numFmtId="173" fontId="7" fillId="35" borderId="13" xfId="0" applyNumberFormat="1" applyFont="1" applyFill="1" applyBorder="1" applyAlignment="1">
      <alignment horizontal="center" vertical="center" wrapText="1"/>
    </xf>
    <xf numFmtId="173" fontId="11" fillId="35" borderId="0" xfId="0" applyNumberFormat="1" applyFont="1" applyFill="1" applyAlignment="1">
      <alignment vertical="center" wrapText="1"/>
    </xf>
    <xf numFmtId="0" fontId="7" fillId="0" borderId="27" xfId="233" applyFont="1" applyBorder="1" applyAlignment="1">
      <alignment vertical="center" wrapText="1"/>
    </xf>
    <xf numFmtId="0" fontId="6" fillId="0" borderId="27" xfId="233" applyFont="1" applyBorder="1" applyAlignment="1">
      <alignment vertical="center" wrapText="1"/>
    </xf>
    <xf numFmtId="0" fontId="6" fillId="0" borderId="27" xfId="233" applyFont="1" applyBorder="1" applyAlignment="1">
      <alignment horizontal="center" vertical="center" wrapText="1"/>
    </xf>
    <xf numFmtId="0" fontId="22" fillId="0" borderId="0" xfId="0" applyFont="1" applyAlignment="1">
      <alignment horizontal="center" vertical="center"/>
    </xf>
    <xf numFmtId="0" fontId="249" fillId="0" borderId="13" xfId="0" applyFont="1" applyBorder="1" applyAlignment="1">
      <alignment horizontal="center" vertical="center"/>
    </xf>
    <xf numFmtId="0" fontId="249" fillId="0" borderId="13"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3" xfId="0" applyFont="1" applyBorder="1" applyAlignment="1">
      <alignment horizontal="justify" vertical="center" wrapText="1"/>
    </xf>
    <xf numFmtId="0" fontId="35" fillId="0" borderId="13" xfId="0" applyFont="1" applyBorder="1" applyAlignment="1">
      <alignment horizontal="center" vertical="center"/>
    </xf>
    <xf numFmtId="177" fontId="180" fillId="36" borderId="13" xfId="103" applyNumberFormat="1" applyFont="1" applyFill="1" applyBorder="1" applyAlignment="1">
      <alignment horizontal="center" vertical="center" wrapText="1"/>
    </xf>
    <xf numFmtId="0" fontId="180" fillId="36" borderId="13" xfId="0" applyFont="1" applyFill="1" applyBorder="1" applyAlignment="1">
      <alignment horizontal="center" vertical="center" wrapText="1"/>
    </xf>
    <xf numFmtId="0" fontId="180" fillId="36" borderId="13" xfId="0" quotePrefix="1" applyFont="1" applyFill="1" applyBorder="1" applyAlignment="1">
      <alignment horizontal="center" vertical="center" wrapText="1"/>
    </xf>
    <xf numFmtId="0" fontId="7" fillId="0" borderId="13" xfId="233" applyFont="1" applyFill="1" applyBorder="1" applyAlignment="1">
      <alignment horizontal="justify" vertical="center" wrapText="1"/>
    </xf>
    <xf numFmtId="173" fontId="7" fillId="0" borderId="13" xfId="103" applyNumberFormat="1" applyFont="1" applyFill="1" applyBorder="1" applyAlignment="1">
      <alignment horizontal="center" vertical="center" wrapText="1"/>
    </xf>
    <xf numFmtId="172" fontId="7" fillId="0" borderId="13" xfId="103" applyNumberFormat="1" applyFont="1" applyFill="1" applyBorder="1" applyAlignment="1">
      <alignment horizontal="center" vertical="center" wrapText="1"/>
    </xf>
    <xf numFmtId="0" fontId="6" fillId="35" borderId="13" xfId="0" applyFont="1" applyFill="1" applyBorder="1" applyAlignment="1">
      <alignment horizontal="justify" vertical="center" wrapText="1"/>
    </xf>
    <xf numFmtId="0" fontId="6" fillId="35" borderId="13" xfId="0" applyFont="1" applyFill="1" applyBorder="1" applyAlignment="1">
      <alignment horizontal="center" vertical="center" wrapText="1"/>
    </xf>
    <xf numFmtId="0" fontId="4" fillId="35" borderId="0" xfId="0" applyFont="1" applyFill="1" applyAlignment="1">
      <alignment horizontal="left"/>
    </xf>
    <xf numFmtId="0" fontId="4" fillId="35" borderId="0" xfId="0" applyFont="1" applyFill="1" applyAlignment="1">
      <alignment horizontal="center" vertical="center" wrapText="1"/>
    </xf>
    <xf numFmtId="0" fontId="5" fillId="35" borderId="0" xfId="0" applyFont="1" applyFill="1" applyAlignment="1">
      <alignment horizontal="center" vertical="center" wrapText="1"/>
    </xf>
    <xf numFmtId="0" fontId="5" fillId="35" borderId="24" xfId="0" applyFont="1" applyFill="1" applyBorder="1" applyAlignment="1">
      <alignment horizontal="right" vertical="center" wrapText="1"/>
    </xf>
    <xf numFmtId="0" fontId="10" fillId="35" borderId="13" xfId="0" applyFont="1" applyFill="1" applyBorder="1" applyAlignment="1">
      <alignment horizontal="center" vertical="center" wrapText="1"/>
    </xf>
    <xf numFmtId="0" fontId="6" fillId="35" borderId="13" xfId="0" applyFont="1" applyFill="1" applyBorder="1" applyAlignment="1">
      <alignment horizontal="center" vertical="center"/>
    </xf>
    <xf numFmtId="0" fontId="21" fillId="0" borderId="0" xfId="0" applyFont="1" applyAlignment="1">
      <alignment horizontal="left"/>
    </xf>
    <xf numFmtId="0" fontId="21" fillId="0" borderId="13" xfId="0" applyFont="1" applyBorder="1" applyAlignment="1">
      <alignment horizontal="center" vertical="center" wrapText="1"/>
    </xf>
    <xf numFmtId="0" fontId="33" fillId="0" borderId="24" xfId="0" applyFont="1" applyBorder="1" applyAlignment="1">
      <alignment horizontal="right"/>
    </xf>
    <xf numFmtId="0" fontId="21" fillId="0" borderId="0" xfId="0" applyFont="1" applyAlignment="1">
      <alignment horizontal="center" vertical="center" wrapText="1"/>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6"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xf>
    <xf numFmtId="0" fontId="5" fillId="0" borderId="24" xfId="0" applyFont="1" applyBorder="1" applyAlignment="1">
      <alignment horizontal="center"/>
    </xf>
    <xf numFmtId="0" fontId="6"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0" borderId="35"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3" xfId="0" applyFont="1" applyBorder="1" applyAlignment="1">
      <alignment horizontal="center" vertical="center" wrapText="1"/>
    </xf>
    <xf numFmtId="0" fontId="35" fillId="0" borderId="13" xfId="0" applyFont="1" applyBorder="1" applyAlignment="1">
      <alignment horizontal="center" vertical="center" wrapText="1"/>
    </xf>
    <xf numFmtId="0" fontId="249" fillId="0" borderId="0" xfId="0" applyFont="1" applyAlignment="1">
      <alignment horizontal="center" vertical="center"/>
    </xf>
    <xf numFmtId="0" fontId="250" fillId="0" borderId="0" xfId="0" applyFont="1" applyAlignment="1">
      <alignment horizontal="center" vertical="center"/>
    </xf>
    <xf numFmtId="0" fontId="23" fillId="0" borderId="0" xfId="0" applyFont="1" applyAlignment="1">
      <alignment horizontal="left"/>
    </xf>
    <xf numFmtId="0" fontId="35" fillId="0" borderId="13" xfId="0" applyFont="1" applyBorder="1" applyAlignment="1">
      <alignment horizontal="center" vertical="center"/>
    </xf>
    <xf numFmtId="0" fontId="242" fillId="0" borderId="0" xfId="219" applyFont="1" applyAlignment="1">
      <alignment horizontal="left" vertical="center" wrapText="1"/>
    </xf>
    <xf numFmtId="0" fontId="202" fillId="0" borderId="0" xfId="219" applyFont="1" applyAlignment="1">
      <alignment horizontal="right" vertical="center" wrapText="1"/>
    </xf>
    <xf numFmtId="0" fontId="243" fillId="0" borderId="0" xfId="219" applyFont="1" applyAlignment="1">
      <alignment horizontal="center" vertical="center" wrapText="1"/>
    </xf>
    <xf numFmtId="1" fontId="244" fillId="0" borderId="0" xfId="219" applyNumberFormat="1" applyFont="1" applyAlignment="1">
      <alignment horizontal="center" vertical="center" wrapText="1"/>
    </xf>
    <xf numFmtId="0" fontId="244" fillId="0" borderId="0" xfId="219" applyFont="1" applyAlignment="1">
      <alignment horizontal="center" vertical="center" wrapText="1"/>
    </xf>
    <xf numFmtId="0" fontId="242" fillId="0" borderId="0" xfId="219" applyFont="1" applyAlignment="1">
      <alignment horizontal="right" vertical="center" wrapText="1"/>
    </xf>
    <xf numFmtId="0" fontId="234" fillId="0" borderId="3" xfId="219" applyFont="1" applyBorder="1" applyAlignment="1">
      <alignment horizontal="center" vertical="center" wrapText="1"/>
    </xf>
    <xf numFmtId="0" fontId="234" fillId="0" borderId="19" xfId="219" applyFont="1" applyBorder="1" applyAlignment="1">
      <alignment horizontal="center" vertical="center" wrapText="1"/>
    </xf>
    <xf numFmtId="0" fontId="234" fillId="0" borderId="35" xfId="219" applyFont="1" applyBorder="1" applyAlignment="1">
      <alignment horizontal="center" vertical="center" wrapText="1"/>
    </xf>
    <xf numFmtId="0" fontId="233" fillId="0" borderId="3" xfId="219" applyFont="1" applyBorder="1" applyAlignment="1">
      <alignment horizontal="center" vertical="center" wrapText="1"/>
    </xf>
    <xf numFmtId="0" fontId="233" fillId="0" borderId="19" xfId="219" applyFont="1" applyBorder="1" applyAlignment="1">
      <alignment horizontal="center" vertical="center" wrapText="1"/>
    </xf>
    <xf numFmtId="0" fontId="233" fillId="0" borderId="35" xfId="219" applyFont="1" applyBorder="1" applyAlignment="1">
      <alignment horizontal="center" vertical="center" wrapText="1"/>
    </xf>
    <xf numFmtId="0" fontId="233" fillId="0" borderId="20" xfId="219" applyFont="1" applyBorder="1" applyAlignment="1">
      <alignment horizontal="center" vertical="center" wrapText="1"/>
    </xf>
    <xf numFmtId="0" fontId="233" fillId="0" borderId="11" xfId="219" applyFont="1" applyBorder="1" applyAlignment="1">
      <alignment horizontal="center" vertical="center" wrapText="1"/>
    </xf>
    <xf numFmtId="0" fontId="233" fillId="0" borderId="30" xfId="219" applyFont="1" applyBorder="1" applyAlignment="1">
      <alignment horizontal="center" vertical="center" wrapText="1"/>
    </xf>
    <xf numFmtId="173" fontId="233" fillId="0" borderId="3" xfId="124" applyNumberFormat="1" applyFont="1" applyBorder="1" applyAlignment="1">
      <alignment horizontal="center" vertical="center" wrapText="1"/>
    </xf>
    <xf numFmtId="173" fontId="233" fillId="0" borderId="35" xfId="124" applyNumberFormat="1" applyFont="1" applyBorder="1" applyAlignment="1">
      <alignment horizontal="center" vertical="center" wrapText="1"/>
    </xf>
    <xf numFmtId="0" fontId="242" fillId="0" borderId="20" xfId="219" applyFont="1" applyBorder="1" applyAlignment="1">
      <alignment horizontal="center" vertical="center" wrapText="1"/>
    </xf>
    <xf numFmtId="0" fontId="242" fillId="0" borderId="11" xfId="219" applyFont="1" applyBorder="1" applyAlignment="1">
      <alignment horizontal="center" vertical="center" wrapText="1"/>
    </xf>
    <xf numFmtId="0" fontId="242" fillId="0" borderId="30" xfId="219" applyFont="1" applyBorder="1" applyAlignment="1">
      <alignment horizontal="center" vertical="center" wrapText="1"/>
    </xf>
    <xf numFmtId="0" fontId="32" fillId="0" borderId="0" xfId="219" applyFont="1" applyAlignment="1">
      <alignment horizontal="center" vertical="center" wrapText="1"/>
    </xf>
    <xf numFmtId="0" fontId="33" fillId="0" borderId="0" xfId="219" applyFont="1" applyAlignment="1">
      <alignment horizontal="center" vertical="center" wrapText="1"/>
    </xf>
    <xf numFmtId="0" fontId="215" fillId="0" borderId="0" xfId="0" applyFont="1" applyAlignment="1">
      <alignment vertical="center"/>
    </xf>
    <xf numFmtId="0" fontId="233" fillId="0" borderId="0" xfId="0" applyFont="1" applyAlignment="1">
      <alignment horizontal="right" vertical="center"/>
    </xf>
    <xf numFmtId="0" fontId="245" fillId="0" borderId="0" xfId="0" applyFont="1" applyAlignment="1">
      <alignment horizontal="center" vertical="center" wrapText="1"/>
    </xf>
    <xf numFmtId="0" fontId="245" fillId="0" borderId="0" xfId="0" applyFont="1" applyAlignment="1">
      <alignment horizontal="center" vertical="center"/>
    </xf>
    <xf numFmtId="1" fontId="246" fillId="0" borderId="0" xfId="0" applyNumberFormat="1" applyFont="1" applyAlignment="1">
      <alignment horizontal="center" vertical="center"/>
    </xf>
    <xf numFmtId="0" fontId="246" fillId="0" borderId="0" xfId="0" applyFont="1" applyAlignment="1">
      <alignment horizontal="center" vertical="center"/>
    </xf>
    <xf numFmtId="0" fontId="208" fillId="0" borderId="24" xfId="0" applyFont="1" applyBorder="1" applyAlignment="1">
      <alignment horizontal="center" vertical="center"/>
    </xf>
    <xf numFmtId="0" fontId="215" fillId="0" borderId="13" xfId="0" applyFont="1" applyBorder="1" applyAlignment="1">
      <alignment horizontal="center" vertical="center" wrapText="1"/>
    </xf>
    <xf numFmtId="0" fontId="215" fillId="0" borderId="13" xfId="0" quotePrefix="1" applyFont="1" applyBorder="1" applyAlignment="1">
      <alignment horizontal="center" vertical="center" wrapText="1"/>
    </xf>
    <xf numFmtId="3" fontId="215" fillId="0" borderId="13" xfId="229" applyNumberFormat="1" applyFont="1" applyBorder="1" applyAlignment="1">
      <alignment horizontal="center" vertical="center" wrapText="1"/>
    </xf>
    <xf numFmtId="3" fontId="215" fillId="36" borderId="13" xfId="229" applyNumberFormat="1" applyFont="1" applyFill="1" applyBorder="1" applyAlignment="1">
      <alignment horizontal="center" vertical="center" wrapText="1"/>
    </xf>
    <xf numFmtId="0" fontId="211" fillId="0" borderId="0" xfId="0" applyFont="1" applyAlignment="1">
      <alignment horizontal="center"/>
    </xf>
    <xf numFmtId="0" fontId="6" fillId="0" borderId="0" xfId="226" applyFont="1" applyAlignment="1">
      <alignment horizontal="center" vertical="center" wrapText="1"/>
    </xf>
    <xf numFmtId="0" fontId="11" fillId="0" borderId="24" xfId="226" applyFont="1" applyBorder="1" applyAlignment="1">
      <alignment horizontal="right" vertical="center"/>
    </xf>
    <xf numFmtId="0" fontId="6" fillId="0" borderId="13" xfId="226" applyFont="1" applyBorder="1" applyAlignment="1">
      <alignment horizontal="center" vertical="center" wrapText="1"/>
    </xf>
    <xf numFmtId="0" fontId="6" fillId="0" borderId="3" xfId="226" applyFont="1" applyBorder="1" applyAlignment="1">
      <alignment horizontal="center" vertical="center" wrapText="1"/>
    </xf>
    <xf numFmtId="0" fontId="6" fillId="0" borderId="35" xfId="226" applyFont="1" applyBorder="1" applyAlignment="1">
      <alignment horizontal="center" vertical="center" wrapText="1"/>
    </xf>
    <xf numFmtId="0" fontId="18" fillId="0" borderId="13" xfId="226" quotePrefix="1" applyFont="1" applyBorder="1" applyAlignment="1">
      <alignment horizontal="center" vertical="center" wrapText="1"/>
    </xf>
    <xf numFmtId="178" fontId="201" fillId="0" borderId="20" xfId="226" applyNumberFormat="1" applyFont="1" applyBorder="1" applyAlignment="1">
      <alignment horizontal="center"/>
    </xf>
    <xf numFmtId="178" fontId="201" fillId="0" borderId="11" xfId="226" applyNumberFormat="1" applyFont="1" applyBorder="1" applyAlignment="1">
      <alignment horizontal="center"/>
    </xf>
    <xf numFmtId="178" fontId="201" fillId="0" borderId="30" xfId="226" applyNumberFormat="1" applyFont="1" applyBorder="1" applyAlignment="1">
      <alignment horizontal="center"/>
    </xf>
    <xf numFmtId="178" fontId="201" fillId="0" borderId="13" xfId="226" applyNumberFormat="1" applyFont="1" applyBorder="1" applyAlignment="1">
      <alignment horizontal="center"/>
    </xf>
    <xf numFmtId="0" fontId="201" fillId="0" borderId="13" xfId="226" applyFont="1" applyBorder="1" applyAlignment="1">
      <alignment horizontal="center" vertical="center"/>
    </xf>
    <xf numFmtId="0" fontId="4" fillId="0" borderId="4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4" xfId="0" applyFont="1" applyBorder="1" applyAlignment="1">
      <alignment horizontal="center" vertical="center" wrapText="1"/>
    </xf>
    <xf numFmtId="0" fontId="41" fillId="35" borderId="13" xfId="182" applyFont="1" applyFill="1" applyBorder="1" applyAlignment="1">
      <alignment horizontal="center" vertical="center"/>
    </xf>
    <xf numFmtId="0" fontId="41" fillId="35" borderId="13" xfId="182" applyFont="1" applyFill="1" applyBorder="1" applyAlignment="1">
      <alignment horizontal="center" vertical="center" wrapText="1"/>
    </xf>
    <xf numFmtId="0" fontId="46" fillId="35" borderId="0" xfId="182" applyFont="1" applyFill="1" applyAlignment="1">
      <alignment horizontal="center" vertical="center"/>
    </xf>
    <xf numFmtId="0" fontId="32" fillId="35" borderId="0" xfId="182" applyFont="1" applyFill="1" applyAlignment="1">
      <alignment horizontal="center" vertical="center"/>
    </xf>
    <xf numFmtId="0" fontId="4" fillId="35" borderId="3" xfId="182" applyFont="1" applyFill="1" applyBorder="1" applyAlignment="1">
      <alignment horizontal="center" vertical="center" wrapText="1"/>
    </xf>
    <xf numFmtId="0" fontId="4" fillId="35" borderId="19" xfId="182" applyFont="1" applyFill="1" applyBorder="1" applyAlignment="1">
      <alignment horizontal="center" vertical="center" wrapText="1"/>
    </xf>
    <xf numFmtId="0" fontId="4" fillId="35" borderId="35" xfId="182" applyFont="1" applyFill="1" applyBorder="1" applyAlignment="1">
      <alignment horizontal="center" vertical="center" wrapText="1"/>
    </xf>
    <xf numFmtId="0" fontId="41" fillId="35" borderId="3" xfId="182" applyFont="1" applyFill="1" applyBorder="1" applyAlignment="1">
      <alignment horizontal="center" vertical="center"/>
    </xf>
    <xf numFmtId="0" fontId="41" fillId="35" borderId="19" xfId="182" applyFont="1" applyFill="1" applyBorder="1" applyAlignment="1">
      <alignment horizontal="center" vertical="center"/>
    </xf>
    <xf numFmtId="0" fontId="41" fillId="35" borderId="35" xfId="182" applyFont="1" applyFill="1" applyBorder="1" applyAlignment="1">
      <alignment horizontal="center" vertical="center"/>
    </xf>
    <xf numFmtId="0" fontId="8" fillId="0" borderId="13" xfId="182" applyFont="1" applyBorder="1" applyAlignment="1">
      <alignment horizontal="center" vertical="center" wrapText="1"/>
    </xf>
    <xf numFmtId="3" fontId="8" fillId="0" borderId="13" xfId="182" applyNumberFormat="1" applyFont="1" applyBorder="1" applyAlignment="1">
      <alignment horizontal="center" vertical="center" wrapText="1"/>
    </xf>
    <xf numFmtId="0" fontId="8" fillId="0" borderId="3" xfId="182" applyFont="1" applyBorder="1" applyAlignment="1">
      <alignment horizontal="center" vertical="center" wrapText="1"/>
    </xf>
    <xf numFmtId="0" fontId="8" fillId="0" borderId="19" xfId="182" applyFont="1" applyBorder="1" applyAlignment="1">
      <alignment horizontal="center" vertical="center" wrapText="1"/>
    </xf>
    <xf numFmtId="0" fontId="8" fillId="0" borderId="35" xfId="182" applyFont="1" applyBorder="1" applyAlignment="1">
      <alignment horizontal="center" vertical="center" wrapText="1"/>
    </xf>
    <xf numFmtId="3" fontId="8" fillId="0" borderId="13" xfId="182" applyNumberFormat="1" applyFont="1" applyBorder="1" applyAlignment="1">
      <alignment horizontal="center" vertical="center"/>
    </xf>
    <xf numFmtId="0" fontId="8" fillId="0" borderId="20" xfId="182" applyFont="1" applyBorder="1" applyAlignment="1">
      <alignment horizontal="center" vertical="center" wrapText="1"/>
    </xf>
    <xf numFmtId="0" fontId="8" fillId="0" borderId="30" xfId="182" applyFont="1" applyBorder="1" applyAlignment="1">
      <alignment horizontal="center" vertical="center" wrapText="1"/>
    </xf>
    <xf numFmtId="3" fontId="8" fillId="0" borderId="13" xfId="103" applyNumberFormat="1" applyFont="1" applyFill="1" applyBorder="1" applyAlignment="1">
      <alignment horizontal="center" vertical="center" wrapText="1"/>
    </xf>
    <xf numFmtId="3" fontId="43" fillId="35" borderId="0" xfId="182" applyNumberFormat="1" applyFont="1" applyFill="1" applyAlignment="1">
      <alignment horizontal="right" vertical="center"/>
    </xf>
    <xf numFmtId="0" fontId="21" fillId="35" borderId="0" xfId="182" applyFont="1" applyFill="1" applyAlignment="1">
      <alignment horizontal="center" vertical="center"/>
    </xf>
    <xf numFmtId="0" fontId="5" fillId="35" borderId="0" xfId="182" applyFont="1" applyFill="1" applyAlignment="1">
      <alignment horizontal="center" vertical="center"/>
    </xf>
    <xf numFmtId="0" fontId="40" fillId="35" borderId="24" xfId="182" applyFont="1" applyFill="1" applyBorder="1" applyAlignment="1">
      <alignment horizontal="right"/>
    </xf>
    <xf numFmtId="0" fontId="4" fillId="0" borderId="13" xfId="182" applyFont="1" applyBorder="1" applyAlignment="1">
      <alignment horizontal="center" vertical="center" wrapText="1"/>
    </xf>
    <xf numFmtId="0" fontId="6" fillId="0" borderId="26" xfId="0" applyFont="1" applyBorder="1" applyAlignment="1">
      <alignment horizontal="center" vertical="center" wrapText="1"/>
    </xf>
    <xf numFmtId="169" fontId="7" fillId="0" borderId="3" xfId="0" applyNumberFormat="1" applyFont="1" applyBorder="1" applyAlignment="1">
      <alignment horizontal="center" vertical="center" wrapText="1"/>
    </xf>
    <xf numFmtId="169" fontId="7" fillId="0" borderId="35" xfId="0" applyNumberFormat="1" applyFont="1" applyBorder="1" applyAlignment="1">
      <alignment horizontal="center" vertical="center" wrapText="1"/>
    </xf>
    <xf numFmtId="0" fontId="51" fillId="0" borderId="0" xfId="0" applyFont="1" applyAlignment="1">
      <alignment horizontal="center" vertical="center" wrapText="1"/>
    </xf>
    <xf numFmtId="168" fontId="53" fillId="0" borderId="0" xfId="232" applyNumberFormat="1" applyFont="1" applyAlignment="1">
      <alignment horizontal="center"/>
    </xf>
    <xf numFmtId="0" fontId="53" fillId="0" borderId="0" xfId="232" applyFont="1" applyAlignment="1">
      <alignment horizontal="center"/>
    </xf>
    <xf numFmtId="0" fontId="51" fillId="0" borderId="0" xfId="0" applyFont="1" applyAlignment="1">
      <alignment horizontal="right" wrapText="1"/>
    </xf>
    <xf numFmtId="0" fontId="6" fillId="0" borderId="3" xfId="0" applyFont="1" applyBorder="1" applyAlignment="1">
      <alignment horizontal="center" vertical="center" wrapText="1"/>
    </xf>
    <xf numFmtId="0" fontId="6" fillId="0" borderId="35" xfId="0" applyFont="1" applyBorder="1" applyAlignment="1">
      <alignment horizontal="center" vertical="center" wrapText="1"/>
    </xf>
    <xf numFmtId="172" fontId="7" fillId="0" borderId="3" xfId="112" applyNumberFormat="1" applyFont="1" applyFill="1" applyBorder="1" applyAlignment="1">
      <alignment horizontal="center" vertical="center" wrapText="1"/>
    </xf>
    <xf numFmtId="172" fontId="7" fillId="0" borderId="19" xfId="112" applyNumberFormat="1" applyFont="1" applyFill="1" applyBorder="1" applyAlignment="1">
      <alignment horizontal="center" vertical="center" wrapText="1"/>
    </xf>
    <xf numFmtId="172" fontId="7" fillId="0" borderId="35" xfId="112" applyNumberFormat="1" applyFont="1" applyFill="1" applyBorder="1" applyAlignment="1">
      <alignment horizontal="center" vertical="center" wrapText="1"/>
    </xf>
    <xf numFmtId="0" fontId="51" fillId="0" borderId="13" xfId="204" applyFont="1" applyBorder="1" applyAlignment="1">
      <alignment horizontal="center" vertical="center" wrapText="1"/>
    </xf>
    <xf numFmtId="0" fontId="52" fillId="0" borderId="3" xfId="204" applyFont="1" applyBorder="1" applyAlignment="1">
      <alignment horizontal="center" vertical="center" wrapText="1"/>
    </xf>
    <xf numFmtId="0" fontId="52" fillId="0" borderId="35" xfId="204" applyFont="1" applyBorder="1" applyAlignment="1">
      <alignment horizontal="center" vertical="center" wrapText="1"/>
    </xf>
    <xf numFmtId="0" fontId="52" fillId="0" borderId="13" xfId="204" applyFont="1" applyBorder="1" applyAlignment="1">
      <alignment horizontal="center" vertical="center" wrapText="1"/>
    </xf>
    <xf numFmtId="0" fontId="7" fillId="0" borderId="3" xfId="204" applyFont="1" applyBorder="1" applyAlignment="1">
      <alignment horizontal="center" vertical="center" wrapText="1"/>
    </xf>
    <xf numFmtId="0" fontId="7" fillId="0" borderId="19" xfId="204" applyFont="1" applyBorder="1" applyAlignment="1">
      <alignment horizontal="center" vertical="center" wrapText="1"/>
    </xf>
    <xf numFmtId="0" fontId="7" fillId="0" borderId="35" xfId="204" applyFont="1" applyBorder="1" applyAlignment="1">
      <alignment horizontal="center" vertical="center" wrapText="1"/>
    </xf>
    <xf numFmtId="0" fontId="52" fillId="0" borderId="20" xfId="204" applyFont="1" applyBorder="1" applyAlignment="1">
      <alignment horizontal="center" vertical="center" wrapText="1"/>
    </xf>
    <xf numFmtId="0" fontId="52" fillId="0" borderId="11" xfId="204" applyFont="1" applyBorder="1" applyAlignment="1">
      <alignment horizontal="center" vertical="center" wrapText="1"/>
    </xf>
    <xf numFmtId="0" fontId="52" fillId="0" borderId="30" xfId="204" applyFont="1" applyBorder="1" applyAlignment="1">
      <alignment horizontal="center" vertical="center" wrapText="1"/>
    </xf>
    <xf numFmtId="0" fontId="52" fillId="36" borderId="3" xfId="204" applyFont="1" applyFill="1" applyBorder="1" applyAlignment="1">
      <alignment horizontal="center" vertical="center" wrapText="1"/>
    </xf>
    <xf numFmtId="0" fontId="52" fillId="36" borderId="35" xfId="204" applyFont="1" applyFill="1" applyBorder="1" applyAlignment="1">
      <alignment horizontal="center" vertical="center" wrapText="1"/>
    </xf>
    <xf numFmtId="0" fontId="52" fillId="0" borderId="40" xfId="204" applyFont="1" applyBorder="1" applyAlignment="1">
      <alignment horizontal="center" vertical="center" wrapText="1"/>
    </xf>
    <xf numFmtId="0" fontId="52" fillId="0" borderId="42" xfId="204" applyFont="1" applyBorder="1" applyAlignment="1">
      <alignment horizontal="center" vertical="center" wrapText="1"/>
    </xf>
    <xf numFmtId="0" fontId="52" fillId="0" borderId="43" xfId="204" applyFont="1" applyBorder="1" applyAlignment="1">
      <alignment horizontal="center" vertical="center" wrapText="1"/>
    </xf>
    <xf numFmtId="0" fontId="51" fillId="0" borderId="3" xfId="204" applyFont="1" applyBorder="1" applyAlignment="1">
      <alignment horizontal="center" vertical="center" wrapText="1"/>
    </xf>
    <xf numFmtId="0" fontId="51" fillId="0" borderId="19" xfId="204" applyFont="1" applyBorder="1" applyAlignment="1">
      <alignment horizontal="center" vertical="center" wrapText="1"/>
    </xf>
    <xf numFmtId="0" fontId="51" fillId="0" borderId="35" xfId="204" applyFont="1" applyBorder="1" applyAlignment="1">
      <alignment horizontal="center" vertical="center" wrapText="1"/>
    </xf>
    <xf numFmtId="0" fontId="51" fillId="0" borderId="0" xfId="204" applyFont="1" applyAlignment="1">
      <alignment horizontal="center" vertical="center" wrapText="1"/>
    </xf>
    <xf numFmtId="0" fontId="51" fillId="0" borderId="0" xfId="204" applyFont="1" applyAlignment="1">
      <alignment horizontal="right" wrapText="1"/>
    </xf>
    <xf numFmtId="0" fontId="6" fillId="0" borderId="13" xfId="204" applyFont="1" applyBorder="1" applyAlignment="1">
      <alignment horizontal="center" vertical="center" wrapText="1"/>
    </xf>
    <xf numFmtId="0" fontId="51" fillId="0" borderId="3" xfId="204" applyFont="1" applyBorder="1" applyAlignment="1">
      <alignment horizontal="center" vertical="center" textRotation="90" wrapText="1"/>
    </xf>
    <xf numFmtId="0" fontId="51" fillId="0" borderId="19" xfId="204" applyFont="1" applyBorder="1" applyAlignment="1">
      <alignment horizontal="center" vertical="center" textRotation="90" wrapText="1"/>
    </xf>
    <xf numFmtId="0" fontId="51" fillId="0" borderId="35" xfId="204" applyFont="1" applyBorder="1" applyAlignment="1">
      <alignment horizontal="center" vertical="center" textRotation="90" wrapText="1"/>
    </xf>
    <xf numFmtId="184" fontId="51" fillId="0" borderId="3" xfId="204" applyNumberFormat="1" applyFont="1" applyBorder="1" applyAlignment="1">
      <alignment horizontal="center" vertical="center" textRotation="90" wrapText="1"/>
    </xf>
    <xf numFmtId="184" fontId="51" fillId="0" borderId="19" xfId="204" applyNumberFormat="1" applyFont="1" applyBorder="1" applyAlignment="1">
      <alignment horizontal="center" vertical="center" textRotation="90" wrapText="1"/>
    </xf>
    <xf numFmtId="184" fontId="51" fillId="0" borderId="35" xfId="204" applyNumberFormat="1" applyFont="1" applyBorder="1" applyAlignment="1">
      <alignment horizontal="center" vertical="center" textRotation="90" wrapText="1"/>
    </xf>
    <xf numFmtId="0" fontId="247" fillId="36" borderId="3" xfId="204" applyFont="1" applyFill="1" applyBorder="1" applyAlignment="1">
      <alignment horizontal="center" vertical="center" wrapText="1"/>
    </xf>
    <xf numFmtId="0" fontId="247" fillId="36" borderId="19" xfId="204" applyFont="1" applyFill="1" applyBorder="1" applyAlignment="1">
      <alignment horizontal="center" vertical="center" wrapText="1"/>
    </xf>
    <xf numFmtId="0" fontId="247" fillId="36" borderId="35" xfId="204" applyFont="1" applyFill="1" applyBorder="1" applyAlignment="1">
      <alignment horizontal="center" vertical="center" wrapText="1"/>
    </xf>
    <xf numFmtId="177" fontId="7" fillId="35" borderId="13" xfId="103" applyNumberFormat="1" applyFont="1" applyFill="1" applyBorder="1" applyAlignment="1">
      <alignment horizontal="center" vertical="center" wrapText="1"/>
    </xf>
    <xf numFmtId="177" fontId="6" fillId="35" borderId="13" xfId="103" applyNumberFormat="1" applyFont="1" applyFill="1" applyBorder="1" applyAlignment="1">
      <alignment horizontal="center" vertical="center" wrapText="1"/>
    </xf>
    <xf numFmtId="177" fontId="7" fillId="0" borderId="13" xfId="103" applyNumberFormat="1" applyFont="1" applyFill="1" applyBorder="1" applyAlignment="1">
      <alignment horizontal="center" vertical="center" wrapText="1"/>
    </xf>
    <xf numFmtId="0" fontId="7" fillId="0" borderId="11" xfId="0" applyFont="1" applyBorder="1" applyAlignment="1">
      <alignment horizontal="center" vertical="center"/>
    </xf>
    <xf numFmtId="176" fontId="6" fillId="35" borderId="13" xfId="103" applyNumberFormat="1" applyFont="1" applyFill="1" applyBorder="1" applyAlignment="1">
      <alignment horizontal="center" vertical="center" wrapText="1"/>
    </xf>
    <xf numFmtId="0" fontId="181" fillId="0" borderId="13" xfId="0" applyFont="1" applyBorder="1" applyAlignment="1">
      <alignment horizontal="center" vertical="center" wrapText="1"/>
    </xf>
    <xf numFmtId="177" fontId="6" fillId="0" borderId="13" xfId="103" applyNumberFormat="1" applyFont="1" applyFill="1" applyBorder="1" applyAlignment="1">
      <alignment horizontal="center" vertical="center" wrapText="1"/>
    </xf>
    <xf numFmtId="177" fontId="6" fillId="0" borderId="20" xfId="103" applyNumberFormat="1" applyFont="1" applyFill="1" applyBorder="1" applyAlignment="1">
      <alignment horizontal="center" vertical="center" wrapText="1"/>
    </xf>
    <xf numFmtId="177" fontId="6" fillId="0" borderId="11" xfId="103" applyNumberFormat="1" applyFont="1" applyFill="1" applyBorder="1" applyAlignment="1">
      <alignment horizontal="center" vertical="center" wrapText="1"/>
    </xf>
    <xf numFmtId="177" fontId="6" fillId="0" borderId="30" xfId="103" applyNumberFormat="1" applyFont="1" applyFill="1" applyBorder="1" applyAlignment="1">
      <alignment horizontal="center" vertical="center" wrapText="1"/>
    </xf>
    <xf numFmtId="177" fontId="6" fillId="0" borderId="3" xfId="103" applyNumberFormat="1" applyFont="1" applyFill="1" applyBorder="1" applyAlignment="1">
      <alignment horizontal="center" vertical="center" wrapText="1"/>
    </xf>
    <xf numFmtId="177" fontId="6" fillId="0" borderId="19" xfId="103" applyNumberFormat="1" applyFont="1" applyFill="1" applyBorder="1" applyAlignment="1">
      <alignment horizontal="center" vertical="center" wrapText="1"/>
    </xf>
    <xf numFmtId="177" fontId="6" fillId="0" borderId="35" xfId="103" applyNumberFormat="1" applyFont="1" applyFill="1" applyBorder="1" applyAlignment="1">
      <alignment horizontal="center" vertical="center" wrapText="1"/>
    </xf>
    <xf numFmtId="0" fontId="52" fillId="36" borderId="40" xfId="0" applyFont="1" applyFill="1" applyBorder="1" applyAlignment="1">
      <alignment horizontal="center" vertical="center" wrapText="1"/>
    </xf>
    <xf numFmtId="0" fontId="52" fillId="36" borderId="42" xfId="0" applyFont="1" applyFill="1" applyBorder="1" applyAlignment="1">
      <alignment horizontal="center" vertical="center" wrapText="1"/>
    </xf>
    <xf numFmtId="0" fontId="52" fillId="36" borderId="43" xfId="0" applyFont="1" applyFill="1" applyBorder="1" applyAlignment="1">
      <alignment horizontal="center" vertical="center" wrapText="1"/>
    </xf>
    <xf numFmtId="0" fontId="52" fillId="36" borderId="13" xfId="0" applyFont="1" applyFill="1" applyBorder="1" applyAlignment="1">
      <alignment horizontal="center" vertical="center" wrapText="1"/>
    </xf>
    <xf numFmtId="0" fontId="52" fillId="36" borderId="3" xfId="0" applyFont="1" applyFill="1" applyBorder="1" applyAlignment="1">
      <alignment horizontal="center" vertical="center" wrapText="1"/>
    </xf>
    <xf numFmtId="0" fontId="52" fillId="36" borderId="35" xfId="0" applyFont="1" applyFill="1" applyBorder="1" applyAlignment="1">
      <alignment horizontal="center" vertical="center" wrapText="1"/>
    </xf>
    <xf numFmtId="0" fontId="51" fillId="36" borderId="13" xfId="0" applyFont="1" applyFill="1" applyBorder="1" applyAlignment="1">
      <alignment horizontal="center" vertical="center" wrapText="1"/>
    </xf>
    <xf numFmtId="0" fontId="51" fillId="0" borderId="13" xfId="0" applyFont="1" applyBorder="1" applyAlignment="1">
      <alignment horizontal="center" vertical="center" wrapText="1"/>
    </xf>
    <xf numFmtId="0" fontId="51" fillId="0" borderId="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35" xfId="0" applyFont="1" applyBorder="1" applyAlignment="1">
      <alignment horizontal="center" vertical="center" wrapText="1"/>
    </xf>
    <xf numFmtId="184" fontId="51" fillId="0" borderId="3" xfId="0" applyNumberFormat="1" applyFont="1" applyBorder="1" applyAlignment="1">
      <alignment horizontal="center" vertical="center" textRotation="90" wrapText="1"/>
    </xf>
    <xf numFmtId="184" fontId="51" fillId="0" borderId="19" xfId="0" applyNumberFormat="1" applyFont="1" applyBorder="1" applyAlignment="1">
      <alignment horizontal="center" vertical="center" textRotation="90" wrapText="1"/>
    </xf>
    <xf numFmtId="184" fontId="51" fillId="0" borderId="35" xfId="0" applyNumberFormat="1" applyFont="1" applyBorder="1" applyAlignment="1">
      <alignment horizontal="center" vertical="center" textRotation="90" wrapText="1"/>
    </xf>
    <xf numFmtId="0" fontId="52" fillId="0" borderId="13" xfId="0" applyFont="1" applyBorder="1" applyAlignment="1">
      <alignment horizontal="center" vertical="center" wrapText="1"/>
    </xf>
    <xf numFmtId="0" fontId="51" fillId="0" borderId="3" xfId="0" applyFont="1" applyBorder="1" applyAlignment="1">
      <alignment horizontal="center" vertical="center" textRotation="90" wrapText="1"/>
    </xf>
    <xf numFmtId="0" fontId="51" fillId="0" borderId="19" xfId="0" applyFont="1" applyBorder="1" applyAlignment="1">
      <alignment horizontal="center" vertical="center" textRotation="90" wrapText="1"/>
    </xf>
    <xf numFmtId="0" fontId="51" fillId="0" borderId="35" xfId="0" applyFont="1" applyBorder="1" applyAlignment="1">
      <alignment horizontal="center" vertical="center" textRotation="90" wrapText="1"/>
    </xf>
    <xf numFmtId="0" fontId="51" fillId="36" borderId="3" xfId="0" applyFont="1" applyFill="1" applyBorder="1" applyAlignment="1">
      <alignment horizontal="center" vertical="center" wrapText="1"/>
    </xf>
    <xf numFmtId="0" fontId="51" fillId="36" borderId="19" xfId="0" applyFont="1" applyFill="1" applyBorder="1" applyAlignment="1">
      <alignment horizontal="center" vertical="center" wrapText="1"/>
    </xf>
    <xf numFmtId="0" fontId="51" fillId="36" borderId="35" xfId="0" applyFont="1" applyFill="1" applyBorder="1" applyAlignment="1">
      <alignment horizontal="center" vertical="center" wrapText="1"/>
    </xf>
    <xf numFmtId="0" fontId="52" fillId="36" borderId="20" xfId="0" applyFont="1" applyFill="1" applyBorder="1" applyAlignment="1">
      <alignment horizontal="center" vertical="center" wrapText="1"/>
    </xf>
    <xf numFmtId="0" fontId="52" fillId="36" borderId="11" xfId="0" applyFont="1" applyFill="1" applyBorder="1" applyAlignment="1">
      <alignment horizontal="center" vertical="center" wrapText="1"/>
    </xf>
    <xf numFmtId="0" fontId="52" fillId="36" borderId="30" xfId="0" applyFont="1" applyFill="1" applyBorder="1" applyAlignment="1">
      <alignment horizontal="center" vertical="center" wrapText="1"/>
    </xf>
    <xf numFmtId="0" fontId="4" fillId="0" borderId="0" xfId="209" applyFont="1" applyAlignment="1">
      <alignment horizontal="center" vertical="center" wrapText="1"/>
    </xf>
    <xf numFmtId="0" fontId="51" fillId="0" borderId="0" xfId="209" applyFont="1" applyAlignment="1">
      <alignment horizontal="center" vertical="center" wrapText="1"/>
    </xf>
    <xf numFmtId="168" fontId="53" fillId="0" borderId="0" xfId="232" applyNumberFormat="1" applyFont="1" applyAlignment="1">
      <alignment horizontal="center" vertical="center" wrapText="1"/>
    </xf>
    <xf numFmtId="0" fontId="53" fillId="0" borderId="0" xfId="232" applyFont="1" applyAlignment="1">
      <alignment horizontal="center" vertical="center" wrapText="1"/>
    </xf>
    <xf numFmtId="178" fontId="51" fillId="0" borderId="0" xfId="209" applyNumberFormat="1" applyFont="1" applyAlignment="1">
      <alignment horizontal="right" vertical="center" wrapText="1"/>
    </xf>
    <xf numFmtId="0" fontId="51" fillId="0" borderId="0" xfId="209" applyFont="1" applyAlignment="1">
      <alignment horizontal="right" vertical="center" wrapText="1"/>
    </xf>
    <xf numFmtId="0" fontId="6" fillId="0" borderId="13" xfId="209" applyFont="1" applyBorder="1" applyAlignment="1">
      <alignment horizontal="center" vertical="center" wrapText="1"/>
    </xf>
    <xf numFmtId="184" fontId="6" fillId="0" borderId="13" xfId="209" applyNumberFormat="1" applyFont="1" applyBorder="1" applyAlignment="1">
      <alignment horizontal="center" vertical="center" textRotation="90" wrapText="1"/>
    </xf>
    <xf numFmtId="0" fontId="7" fillId="0" borderId="13" xfId="209" applyFont="1" applyBorder="1" applyAlignment="1">
      <alignment horizontal="center" vertical="center" wrapText="1"/>
    </xf>
    <xf numFmtId="0" fontId="51" fillId="0" borderId="13" xfId="209" applyFont="1" applyBorder="1" applyAlignment="1">
      <alignment horizontal="center" vertical="center" wrapText="1"/>
    </xf>
    <xf numFmtId="0" fontId="6" fillId="0" borderId="13" xfId="209" applyFont="1" applyBorder="1" applyAlignment="1">
      <alignment horizontal="center" vertical="center" textRotation="90" wrapText="1"/>
    </xf>
    <xf numFmtId="0" fontId="180" fillId="35" borderId="13" xfId="0" applyFont="1" applyFill="1" applyBorder="1" applyAlignment="1">
      <alignment horizontal="center" vertical="center" wrapText="1"/>
    </xf>
    <xf numFmtId="0" fontId="6" fillId="35" borderId="3"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35" xfId="0" applyFont="1" applyFill="1" applyBorder="1" applyAlignment="1">
      <alignment horizontal="center" vertical="center"/>
    </xf>
    <xf numFmtId="0" fontId="189" fillId="0" borderId="13" xfId="0" applyFont="1" applyBorder="1" applyAlignment="1">
      <alignment horizontal="center" vertical="center" wrapText="1"/>
    </xf>
    <xf numFmtId="0" fontId="189" fillId="0" borderId="0" xfId="0" applyFont="1" applyAlignment="1">
      <alignment horizontal="center" vertical="center"/>
    </xf>
    <xf numFmtId="0" fontId="248" fillId="0" borderId="24" xfId="0" applyFont="1" applyBorder="1" applyAlignment="1">
      <alignment horizontal="center" vertical="center"/>
    </xf>
    <xf numFmtId="0" fontId="189" fillId="0" borderId="3" xfId="0" applyFont="1" applyBorder="1" applyAlignment="1">
      <alignment horizontal="center" vertical="center"/>
    </xf>
    <xf numFmtId="0" fontId="189" fillId="0" borderId="19" xfId="0" applyFont="1" applyBorder="1" applyAlignment="1">
      <alignment horizontal="center" vertical="center"/>
    </xf>
    <xf numFmtId="0" fontId="189" fillId="0" borderId="35" xfId="0" applyFont="1" applyBorder="1" applyAlignment="1">
      <alignment horizontal="center" vertical="center"/>
    </xf>
    <xf numFmtId="0" fontId="6" fillId="0" borderId="13" xfId="218" applyFont="1" applyBorder="1" applyAlignment="1">
      <alignment horizontal="center" vertical="center" wrapText="1"/>
    </xf>
    <xf numFmtId="0" fontId="6" fillId="0" borderId="20" xfId="218" applyFont="1" applyBorder="1" applyAlignment="1">
      <alignment horizontal="center" vertical="center" wrapText="1"/>
    </xf>
    <xf numFmtId="0" fontId="4" fillId="0" borderId="0" xfId="218" applyFont="1" applyAlignment="1">
      <alignment horizontal="left"/>
    </xf>
    <xf numFmtId="0" fontId="4" fillId="0" borderId="0" xfId="218" applyFont="1" applyAlignment="1">
      <alignment horizontal="center" vertical="center" wrapText="1"/>
    </xf>
    <xf numFmtId="0" fontId="5" fillId="0" borderId="0" xfId="218" applyFont="1" applyAlignment="1">
      <alignment horizontal="center" vertical="center" wrapText="1"/>
    </xf>
    <xf numFmtId="0" fontId="5" fillId="0" borderId="24" xfId="218" applyFont="1" applyBorder="1" applyAlignment="1">
      <alignment horizontal="right" vertical="center" wrapText="1"/>
    </xf>
    <xf numFmtId="0" fontId="10" fillId="0" borderId="13" xfId="218" applyFont="1" applyBorder="1" applyAlignment="1">
      <alignment horizontal="center" vertical="center" wrapText="1"/>
    </xf>
    <xf numFmtId="0" fontId="6" fillId="0" borderId="11" xfId="218" applyFont="1" applyBorder="1" applyAlignment="1">
      <alignment horizontal="center" vertical="center" wrapText="1"/>
    </xf>
    <xf numFmtId="0" fontId="6" fillId="0" borderId="3" xfId="218" applyFont="1" applyBorder="1" applyAlignment="1">
      <alignment horizontal="center" vertical="center"/>
    </xf>
    <xf numFmtId="0" fontId="6" fillId="0" borderId="19" xfId="218" applyFont="1" applyBorder="1" applyAlignment="1">
      <alignment horizontal="center" vertical="center"/>
    </xf>
    <xf numFmtId="0" fontId="6" fillId="0" borderId="35" xfId="218" applyFont="1" applyBorder="1" applyAlignment="1">
      <alignment horizontal="center" vertical="center"/>
    </xf>
    <xf numFmtId="173" fontId="9" fillId="0" borderId="27" xfId="103" applyNumberFormat="1" applyFont="1" applyFill="1" applyBorder="1" applyAlignment="1">
      <alignment horizontal="center" vertical="center" wrapText="1"/>
    </xf>
  </cellXfs>
  <cellStyles count="458">
    <cellStyle name="          _x000d__x000a_shell=progman.exe_x000d__x000a_m" xfId="1"/>
    <cellStyle name="??" xfId="2"/>
    <cellStyle name="?? [0.00]_PRODUCT DETAIL Q1" xfId="3"/>
    <cellStyle name="?? [0]" xfId="4"/>
    <cellStyle name="?_x001d_??%U©÷u&amp;H©÷9_x0008_?_x0009_s_x000a__x0007__x0001__x0001_" xfId="5"/>
    <cellStyle name="???? [0.00]_PRODUCT DETAIL Q1" xfId="6"/>
    <cellStyle name="????_PRODUCT DETAIL Q1" xfId="7"/>
    <cellStyle name="???[0]_?? DI" xfId="8"/>
    <cellStyle name="???_?? DI" xfId="9"/>
    <cellStyle name="??[0]_MATL COST ANALYSIS" xfId="10"/>
    <cellStyle name="??_ ??? ???? " xfId="11"/>
    <cellStyle name="??A? [0]_ÿÿÿÿÿÿ_1_¢¬???¢â? " xfId="12"/>
    <cellStyle name="??A?_ÿÿÿÿÿÿ_1_¢¬???¢â? " xfId="13"/>
    <cellStyle name="?¡±¢¥?_?¨ù??¢´¢¥_¢¬???¢â? " xfId="14"/>
    <cellStyle name="?ðÇ%U?&amp;H?_x0008_?s_x000a__x0007__x0001__x0001_" xfId="15"/>
    <cellStyle name="_Book1" xfId="16"/>
    <cellStyle name="_Book1_KH 2016 chan nuoi" xfId="17"/>
    <cellStyle name="_Book1_KH chan nuoi 2016 (chinh thuc)" xfId="18"/>
    <cellStyle name="•W€_STDFOR" xfId="19"/>
    <cellStyle name="•W_MARINE" xfId="20"/>
    <cellStyle name="W_STDFOR" xfId="21"/>
    <cellStyle name="1" xfId="22"/>
    <cellStyle name="2" xfId="23"/>
    <cellStyle name="20" xfId="24"/>
    <cellStyle name="20% - Accent1 2" xfId="25"/>
    <cellStyle name="20% - Accent2 2" xfId="26"/>
    <cellStyle name="20% - Accent3 2" xfId="27"/>
    <cellStyle name="20% - Accent4 2" xfId="28"/>
    <cellStyle name="20% - Accent5 2" xfId="29"/>
    <cellStyle name="20% - Accent6 2" xfId="30"/>
    <cellStyle name="20% - Nhấn1" xfId="31"/>
    <cellStyle name="20% - Nhấn2" xfId="32"/>
    <cellStyle name="20% - Nhấn3" xfId="33"/>
    <cellStyle name="20% - Nhấn4" xfId="34"/>
    <cellStyle name="20% - Nhấn5" xfId="35"/>
    <cellStyle name="20% - Nhấn6" xfId="36"/>
    <cellStyle name="2line" xfId="37"/>
    <cellStyle name="3" xfId="38"/>
    <cellStyle name="4" xfId="39"/>
    <cellStyle name="40% - Accent1 2" xfId="40"/>
    <cellStyle name="40% - Accent2 2" xfId="41"/>
    <cellStyle name="40% - Accent3 2" xfId="42"/>
    <cellStyle name="40% - Accent4 2" xfId="43"/>
    <cellStyle name="40% - Accent5 2" xfId="44"/>
    <cellStyle name="40% - Accent6 2" xfId="45"/>
    <cellStyle name="40% - Nhấn1" xfId="46"/>
    <cellStyle name="40% - Nhấn2" xfId="47"/>
    <cellStyle name="40% - Nhấn3" xfId="48"/>
    <cellStyle name="40% - Nhấn4" xfId="49"/>
    <cellStyle name="40% - Nhấn5" xfId="50"/>
    <cellStyle name="40% - Nhấn6" xfId="51"/>
    <cellStyle name="6" xfId="52"/>
    <cellStyle name="6_KH 2016 chan nuoi" xfId="53"/>
    <cellStyle name="6_KH chan nuoi 2016 (chinh thuc)" xfId="54"/>
    <cellStyle name="6_T11N11 BC tieu chi va nhu cau von xa Thái Binh" xfId="55"/>
    <cellStyle name="6_T11N13 Bieu kem theo BC (3)" xfId="56"/>
    <cellStyle name="6_T12N31 BC 12 tien do" xfId="57"/>
    <cellStyle name="6_T12N31 BC 12 tien do_T09.N30 bieu kem theo BC (Tuan bc sở NN)" xfId="58"/>
    <cellStyle name="6_T12N31 BC 12 tien do_T11N11 BC tieu chi va nhu cau von xa Thái Binh" xfId="59"/>
    <cellStyle name="6_T12N31 BC 12 tien do_T11N13 Bieu kem theo BC (3)" xfId="60"/>
    <cellStyle name="60% - Accent1 2" xfId="61"/>
    <cellStyle name="60% - Accent2 2" xfId="62"/>
    <cellStyle name="60% - Accent3 2" xfId="63"/>
    <cellStyle name="60% - Accent4 2" xfId="64"/>
    <cellStyle name="60% - Accent5 2" xfId="65"/>
    <cellStyle name="60% - Accent6 2" xfId="66"/>
    <cellStyle name="60% - Nhấn1" xfId="67"/>
    <cellStyle name="60% - Nhấn2" xfId="68"/>
    <cellStyle name="60% - Nhấn3" xfId="69"/>
    <cellStyle name="60% - Nhấn4" xfId="70"/>
    <cellStyle name="60% - Nhấn5" xfId="71"/>
    <cellStyle name="60% - Nhấn6" xfId="72"/>
    <cellStyle name="Accent1 2" xfId="73"/>
    <cellStyle name="Accent2 2" xfId="74"/>
    <cellStyle name="Accent3 2" xfId="75"/>
    <cellStyle name="Accent4 2" xfId="76"/>
    <cellStyle name="Accent5 2" xfId="77"/>
    <cellStyle name="Accent6 2" xfId="78"/>
    <cellStyle name="AeE­ [0]_INQUIRY ¿µ¾÷AßAø " xfId="79"/>
    <cellStyle name="AeE­_INQUIRY ¿µ¾÷AßAø " xfId="80"/>
    <cellStyle name="args.style" xfId="81"/>
    <cellStyle name="ÄÞ¸¶ [0]_1" xfId="82"/>
    <cellStyle name="AÞ¸¶ [0]_INQUIRY ¿?¾÷AßAø " xfId="83"/>
    <cellStyle name="ÄÞ¸¶_1" xfId="84"/>
    <cellStyle name="AÞ¸¶_INQUIRY ¿?¾÷AßAø " xfId="85"/>
    <cellStyle name="Bad 2" xfId="86"/>
    <cellStyle name="blue" xfId="87"/>
    <cellStyle name="Body" xfId="88"/>
    <cellStyle name="C?AØ_¿?¾÷CoE² " xfId="89"/>
    <cellStyle name="C￥AØ_¿μ¾÷CoE² " xfId="90"/>
    <cellStyle name="Ç¥ÁØ_PO0862_bldg_BQ" xfId="91"/>
    <cellStyle name="Calc Currency (0)" xfId="92"/>
    <cellStyle name="Calc Currency (2)" xfId="93"/>
    <cellStyle name="Calc Percent (0)" xfId="94"/>
    <cellStyle name="Calc Percent (1)" xfId="95"/>
    <cellStyle name="Calc Percent (2)" xfId="96"/>
    <cellStyle name="Calc Units (0)" xfId="97"/>
    <cellStyle name="Calc Units (1)" xfId="98"/>
    <cellStyle name="Calc Units (2)" xfId="99"/>
    <cellStyle name="Calculation 2" xfId="100"/>
    <cellStyle name="category" xfId="101"/>
    <cellStyle name="Column_Title" xfId="102"/>
    <cellStyle name="Comma" xfId="103" builtinId="3"/>
    <cellStyle name="Comma  - Style1" xfId="104"/>
    <cellStyle name="Comma  - Style2" xfId="105"/>
    <cellStyle name="Comma  - Style3" xfId="106"/>
    <cellStyle name="Comma  - Style4" xfId="107"/>
    <cellStyle name="Comma  - Style5" xfId="108"/>
    <cellStyle name="Comma  - Style6" xfId="109"/>
    <cellStyle name="Comma  - Style7" xfId="110"/>
    <cellStyle name="Comma  - Style8" xfId="111"/>
    <cellStyle name="Comma 10" xfId="112"/>
    <cellStyle name="Comma 11" xfId="113"/>
    <cellStyle name="Comma 12" xfId="114"/>
    <cellStyle name="Comma 13" xfId="115"/>
    <cellStyle name="Comma 14" xfId="116"/>
    <cellStyle name="Comma 2" xfId="117"/>
    <cellStyle name="Comma 2 2" xfId="118"/>
    <cellStyle name="Comma 2 2 2" xfId="119"/>
    <cellStyle name="Comma 2 3" xfId="120"/>
    <cellStyle name="Comma 2_Bac Giang" xfId="121"/>
    <cellStyle name="Comma 3" xfId="122"/>
    <cellStyle name="Comma 3 2" xfId="123"/>
    <cellStyle name="Comma 4" xfId="124"/>
    <cellStyle name="Comma 5" xfId="125"/>
    <cellStyle name="Comma 5 2" xfId="126"/>
    <cellStyle name="Comma 5_BC kenh muong cau kien 2017" xfId="127"/>
    <cellStyle name="Comma 6" xfId="128"/>
    <cellStyle name="Comma 6 2" xfId="129"/>
    <cellStyle name="Comma 7" xfId="130"/>
    <cellStyle name="Comma 8" xfId="131"/>
    <cellStyle name="Comma 9" xfId="132"/>
    <cellStyle name="comma zerodec" xfId="133"/>
    <cellStyle name="Comma0" xfId="134"/>
    <cellStyle name="Copied" xfId="135"/>
    <cellStyle name="Currency 2" xfId="136"/>
    <cellStyle name="Currency0" xfId="137"/>
    <cellStyle name="Currency1" xfId="138"/>
    <cellStyle name="custom" xfId="139"/>
    <cellStyle name="Check Cell 2" xfId="140"/>
    <cellStyle name="Date" xfId="141"/>
    <cellStyle name="Dấu_phảy 2" xfId="142"/>
    <cellStyle name="Dezimal [0]_NEGS" xfId="143"/>
    <cellStyle name="Dezimal_NEGS" xfId="144"/>
    <cellStyle name="Dollar (zero dec)" xfId="145"/>
    <cellStyle name="Dziesiętny [0]_Invoices2001Slovakia" xfId="146"/>
    <cellStyle name="Dziesiętny_Invoices2001Slovakia" xfId="147"/>
    <cellStyle name="Đầu ra" xfId="148"/>
    <cellStyle name="Đầu vào" xfId="149"/>
    <cellStyle name="Đề mục 1" xfId="150"/>
    <cellStyle name="Đề mục 2" xfId="151"/>
    <cellStyle name="Đề mục 3" xfId="152"/>
    <cellStyle name="Đề mục 4" xfId="153"/>
    <cellStyle name="Entered" xfId="154"/>
    <cellStyle name="Euro" xfId="155"/>
    <cellStyle name="Explanatory Text 2" xfId="156"/>
    <cellStyle name="Fixed" xfId="157"/>
    <cellStyle name="Ghi chú" xfId="158"/>
    <cellStyle name="Good 2" xfId="159"/>
    <cellStyle name="Grey" xfId="160"/>
    <cellStyle name="Head 1" xfId="161"/>
    <cellStyle name="HEADER" xfId="162"/>
    <cellStyle name="Header1" xfId="163"/>
    <cellStyle name="Header2" xfId="164"/>
    <cellStyle name="Heading 1 2" xfId="165"/>
    <cellStyle name="Heading 1 3" xfId="166"/>
    <cellStyle name="Heading 2 2" xfId="167"/>
    <cellStyle name="Heading 2 3" xfId="168"/>
    <cellStyle name="Heading 3 2" xfId="169"/>
    <cellStyle name="Heading 4 2" xfId="170"/>
    <cellStyle name="Heading1" xfId="171"/>
    <cellStyle name="Heading2" xfId="172"/>
    <cellStyle name="HEADINGS" xfId="173"/>
    <cellStyle name="HEADINGSTOP" xfId="174"/>
    <cellStyle name="Hoa-Scholl" xfId="175"/>
    <cellStyle name="Hyperlink 2" xfId="176"/>
    <cellStyle name="Input [yellow]" xfId="177"/>
    <cellStyle name="Input 2" xfId="178"/>
    <cellStyle name="Kiểm tra Ô" xfId="179"/>
    <cellStyle name="khanh" xfId="180"/>
    <cellStyle name="Ledger 17 x 11 in" xfId="181"/>
    <cellStyle name="Ledger 17 x 11 in 4" xfId="182"/>
    <cellStyle name="Linked Cell 2" xfId="183"/>
    <cellStyle name="macroname" xfId="184"/>
    <cellStyle name="Migliaia (0)_CALPREZZ" xfId="185"/>
    <cellStyle name="Migliaia_ PESO ELETTR." xfId="186"/>
    <cellStyle name="Millares [0]_COBERT" xfId="187"/>
    <cellStyle name="Millares_COBERT" xfId="188"/>
    <cellStyle name="Milliers [0]_!!!GO" xfId="189"/>
    <cellStyle name="Milliers_!!!GO" xfId="190"/>
    <cellStyle name="Model" xfId="191"/>
    <cellStyle name="Moeda [0]_NEW VIP Flash Report Format" xfId="192"/>
    <cellStyle name="Moeda_NEW VIP Flash Report Format" xfId="193"/>
    <cellStyle name="moi" xfId="194"/>
    <cellStyle name="Moneda [0]_COBERT" xfId="195"/>
    <cellStyle name="Moneda_COBERT" xfId="196"/>
    <cellStyle name="Monétaire [0]_!!!GO" xfId="197"/>
    <cellStyle name="Monétaire_!!!GO" xfId="198"/>
    <cellStyle name="n" xfId="199"/>
    <cellStyle name="Neutral 2" xfId="200"/>
    <cellStyle name="New Times Roman" xfId="201"/>
    <cellStyle name="no dec" xfId="202"/>
    <cellStyle name="Normal" xfId="0" builtinId="0"/>
    <cellStyle name="Normal - Style1" xfId="203"/>
    <cellStyle name="Normal - Style1 2" xfId="204"/>
    <cellStyle name="Normal 10" xfId="205"/>
    <cellStyle name="Normal 11" xfId="206"/>
    <cellStyle name="Normal 12" xfId="207"/>
    <cellStyle name="Normal 12 2" xfId="208"/>
    <cellStyle name="Normal 13" xfId="209"/>
    <cellStyle name="Normal 14" xfId="210"/>
    <cellStyle name="Normal 17" xfId="211"/>
    <cellStyle name="Normal 2" xfId="212"/>
    <cellStyle name="Normal 2 2" xfId="213"/>
    <cellStyle name="Normal 2 2 3" xfId="214"/>
    <cellStyle name="Normal 2 3" xfId="215"/>
    <cellStyle name="Normal 2 4" xfId="216"/>
    <cellStyle name="Normal 2_142 Bieu kem theo 07 xa muc tieu 2017 (3)" xfId="217"/>
    <cellStyle name="Normal 2_BIỂU RÀ SOÁT VỐN NTM 2021-2025 (tách vốn 2021)" xfId="218"/>
    <cellStyle name="Normal 3" xfId="219"/>
    <cellStyle name="Normal 3 2" xfId="220"/>
    <cellStyle name="Normal 4" xfId="221"/>
    <cellStyle name="Normal 4 2" xfId="222"/>
    <cellStyle name="Normal 4_T7N26 BC 6 thang kem BC 199" xfId="223"/>
    <cellStyle name="Normal 5" xfId="224"/>
    <cellStyle name="Normal 6" xfId="225"/>
    <cellStyle name="Normal 7" xfId="226"/>
    <cellStyle name="Normal 8" xfId="227"/>
    <cellStyle name="Normal 9" xfId="228"/>
    <cellStyle name="Normal_Bieu mau (CV )" xfId="229"/>
    <cellStyle name="Normal_Bieu mau (CV ) 2 2" xfId="230"/>
    <cellStyle name="Normal_Hung My de xuat kinh phi 2022" xfId="231"/>
    <cellStyle name="Normal_ke hoach kinh phi 2011" xfId="232"/>
    <cellStyle name="Normal_KH 2012.2015" xfId="233"/>
    <cellStyle name="Normal1" xfId="234"/>
    <cellStyle name="Normale_ PESO ELETTR." xfId="235"/>
    <cellStyle name="Normalny_Cennik obowiązuje od 06-08-2001 r (1)" xfId="236"/>
    <cellStyle name="Note 2" xfId="237"/>
    <cellStyle name="Nhấn1" xfId="238"/>
    <cellStyle name="Nhấn2" xfId="239"/>
    <cellStyle name="Nhấn3" xfId="240"/>
    <cellStyle name="Nhấn4" xfId="241"/>
    <cellStyle name="Nhấn5" xfId="242"/>
    <cellStyle name="Nhấn6" xfId="243"/>
    <cellStyle name="Œ…‹æØ‚è [0.00]_laroux" xfId="244"/>
    <cellStyle name="Œ…‹æØ‚è_laroux" xfId="245"/>
    <cellStyle name="oft Excel]_x000d__x000a_Comment=The open=/f lines load custom functions into the Paste Function list._x000d__x000a_Maximized=2_x000d__x000a_Basics=1_x000d__x000a_A" xfId="246"/>
    <cellStyle name="oft Excel]_x000d__x000a_Comment=The open=/f lines load custom functions into the Paste Function list._x000d__x000a_Maximized=3_x000d__x000a_Basics=1_x000d__x000a_A" xfId="247"/>
    <cellStyle name="omma [0]_Mktg Prog" xfId="248"/>
    <cellStyle name="ormal_Sheet1_1" xfId="249"/>
    <cellStyle name="Output 2" xfId="250"/>
    <cellStyle name="Ô Được nối kết" xfId="251"/>
    <cellStyle name="per.style" xfId="252"/>
    <cellStyle name="Percent [2]" xfId="253"/>
    <cellStyle name="Percent 2" xfId="254"/>
    <cellStyle name="Percent 3" xfId="255"/>
    <cellStyle name="Percent 4" xfId="256"/>
    <cellStyle name="PSChar" xfId="257"/>
    <cellStyle name="PSDate" xfId="258"/>
    <cellStyle name="PSDec" xfId="259"/>
    <cellStyle name="PSHeading" xfId="260"/>
    <cellStyle name="PSInt" xfId="261"/>
    <cellStyle name="PSSpacer" xfId="262"/>
    <cellStyle name="regstoresfromspecstores" xfId="263"/>
    <cellStyle name="RevList" xfId="264"/>
    <cellStyle name="s]_x000d__x000a_spooler=yes_x000d__x000a_load=_x000d__x000a_Beep=yes_x000d__x000a_NullPort=None_x000d__x000a_BorderWidth=3_x000d__x000a_CursorBlinkRate=1200_x000d__x000a_DoubleClickSpeed=452_x000d__x000a_Programs=co" xfId="265"/>
    <cellStyle name="SAPBEXaggData" xfId="266"/>
    <cellStyle name="SAPBEXaggDataEmph" xfId="267"/>
    <cellStyle name="SAPBEXaggItem" xfId="268"/>
    <cellStyle name="SAPBEXchaText" xfId="269"/>
    <cellStyle name="SAPBEXexcBad7" xfId="270"/>
    <cellStyle name="SAPBEXexcBad8" xfId="271"/>
    <cellStyle name="SAPBEXexcBad9" xfId="272"/>
    <cellStyle name="SAPBEXexcCritical4" xfId="273"/>
    <cellStyle name="SAPBEXexcCritical5" xfId="274"/>
    <cellStyle name="SAPBEXexcCritical6" xfId="275"/>
    <cellStyle name="SAPBEXexcGood1" xfId="276"/>
    <cellStyle name="SAPBEXexcGood2" xfId="277"/>
    <cellStyle name="SAPBEXexcGood3" xfId="278"/>
    <cellStyle name="SAPBEXfilterDrill" xfId="279"/>
    <cellStyle name="SAPBEXfilterItem" xfId="280"/>
    <cellStyle name="SAPBEXfilterText" xfId="281"/>
    <cellStyle name="SAPBEXformats" xfId="282"/>
    <cellStyle name="SAPBEXheaderItem" xfId="283"/>
    <cellStyle name="SAPBEXheaderText" xfId="284"/>
    <cellStyle name="SAPBEXresData" xfId="285"/>
    <cellStyle name="SAPBEXresDataEmph" xfId="286"/>
    <cellStyle name="SAPBEXresItem" xfId="287"/>
    <cellStyle name="SAPBEXstdData" xfId="288"/>
    <cellStyle name="SAPBEXstdDataEmph" xfId="289"/>
    <cellStyle name="SAPBEXstdItem" xfId="290"/>
    <cellStyle name="SAPBEXtitle" xfId="291"/>
    <cellStyle name="SAPBEXundefined" xfId="292"/>
    <cellStyle name="Separador de milhares [0]_NEW VIP Flash Report Format" xfId="293"/>
    <cellStyle name="Separador de milhares_NEW VIP Flash Report Format" xfId="294"/>
    <cellStyle name="SHADEDSTORES" xfId="295"/>
    <cellStyle name="specstores" xfId="296"/>
    <cellStyle name="STANDARD" xfId="297"/>
    <cellStyle name="style" xfId="298"/>
    <cellStyle name="Style 1" xfId="299"/>
    <cellStyle name="style_KH chan nuoi 2016 (chinh thuc)" xfId="300"/>
    <cellStyle name="subhead" xfId="301"/>
    <cellStyle name="Subtotal" xfId="302"/>
    <cellStyle name="T" xfId="303"/>
    <cellStyle name="T_BC CT DD, TDC den 30.6.04" xfId="304"/>
    <cellStyle name="T_BC XD CCTL 2008-2012" xfId="305"/>
    <cellStyle name="T_BC XD CCTL 2008-2012_T09.N30 bieu kem theo BC (Tuan bc sở NN)" xfId="306"/>
    <cellStyle name="T_BC XD CCTL 2008-2012_T11N11 BC tieu chi va nhu cau von xa Thái Binh" xfId="307"/>
    <cellStyle name="T_BC XD CCTL 2008-2012_T11N13 Bieu kem theo BC (3)" xfId="308"/>
    <cellStyle name="T_Bieu theo bao cao" xfId="309"/>
    <cellStyle name="T_Bieu theo bao cao ngay 23-9-2004" xfId="310"/>
    <cellStyle name="T_BiÓu 01-09" xfId="311"/>
    <cellStyle name="T_BiÓu 01-09_KH 2016 chan nuoi" xfId="312"/>
    <cellStyle name="T_BiÓu 01-09_KH chan nuoi 2016 (chinh thuc)" xfId="313"/>
    <cellStyle name="T_BiÓu tæng h¬p (theo b¸o c¸o)" xfId="314"/>
    <cellStyle name="T_BiÓu tæng h¬p (theo b¸o c¸o)_KH 2016 chan nuoi" xfId="315"/>
    <cellStyle name="T_BiÓu tæng h¬p (theo b¸o c¸o)_KH chan nuoi 2016 (chinh thuc)" xfId="316"/>
    <cellStyle name="T_BiÓu tæng hîp 01-09" xfId="317"/>
    <cellStyle name="T_BiÓu tæng hîp Hµm Yªn" xfId="318"/>
    <cellStyle name="T_BiÓu tæng hîp tõ 01 - 07" xfId="319"/>
    <cellStyle name="T_Book1" xfId="320"/>
    <cellStyle name="T_Book1_1" xfId="321"/>
    <cellStyle name="T_Book1_1_Bieu theo bao cao" xfId="322"/>
    <cellStyle name="T_Book1_1_Bieu theo bao cao ngay 23-9-2004" xfId="323"/>
    <cellStyle name="T_Book1_1_Book1" xfId="324"/>
    <cellStyle name="T_Book1_1_Book1_KH 2016 chan nuoi" xfId="325"/>
    <cellStyle name="T_Book1_1_Book1_KH chan nuoi 2016 (chinh thuc)" xfId="326"/>
    <cellStyle name="T_Book1_1_Chiªm Ho¸" xfId="327"/>
    <cellStyle name="T_Book1_1_Chu Th¨ng" xfId="328"/>
    <cellStyle name="T_Book1_1_KH 2016 chan nuoi" xfId="329"/>
    <cellStyle name="T_Book1_1_KH chan nuoi 2016 (chinh thuc)" xfId="330"/>
    <cellStyle name="T_Book1_1_T7N26 BC 6 thang kem BC 199" xfId="331"/>
    <cellStyle name="T_Book1_1_TTr bæ xung Q§ di chuyÓn" xfId="332"/>
    <cellStyle name="T_Book1_1_ÿÿÿÿÿ" xfId="333"/>
    <cellStyle name="T_Book1_2" xfId="334"/>
    <cellStyle name="T_Book1_2_KH chan nuoi 2016 (chinh thuc)" xfId="335"/>
    <cellStyle name="T_Book1_2_T7N26 BC 6 thang kem BC 199" xfId="336"/>
    <cellStyle name="T_Book1_3" xfId="337"/>
    <cellStyle name="T_Book1_3_KH 2016 chan nuoi" xfId="338"/>
    <cellStyle name="T_Book1_3_KH chan nuoi 2016 (chinh thuc)" xfId="339"/>
    <cellStyle name="T_Book1_Bieu theo bao cao" xfId="340"/>
    <cellStyle name="T_Book1_Bieu theo bao cao ngay 23-9-2004" xfId="341"/>
    <cellStyle name="T_Book1_BiÓu tæng h¬p (theo b¸o c¸o)" xfId="342"/>
    <cellStyle name="T_Book1_BiÓu tæng h¬p (theo b¸o c¸o)_KH 2016 chan nuoi" xfId="343"/>
    <cellStyle name="T_Book1_BiÓu tæng h¬p (theo b¸o c¸o)_KH chan nuoi 2016 (chinh thuc)" xfId="344"/>
    <cellStyle name="T_Book1_BiÓu tæng hîp 01-09" xfId="345"/>
    <cellStyle name="T_Book1_BiÓu tæng hîp Hµm Yªn" xfId="346"/>
    <cellStyle name="T_Book1_BiÓu tæng hîp tõ 01 - 07" xfId="347"/>
    <cellStyle name="T_Book1_Book1" xfId="348"/>
    <cellStyle name="T_Book1_Book1_KH 2016 chan nuoi" xfId="349"/>
    <cellStyle name="T_Book1_Book1_KH chan nuoi 2016 (chinh thuc)" xfId="350"/>
    <cellStyle name="T_Book1_Copy of BiÓu tæng hîp kinh phÝ ®Õn ngµy 12-6-2004" xfId="351"/>
    <cellStyle name="T_Book1_Copy of BiÓu tæng hîp kinh phÝ ®Õn ngµy 12-6-2004_KH 2016 chan nuoi" xfId="352"/>
    <cellStyle name="T_Book1_Copy of BiÓu tæng hîp kinh phÝ ®Õn ngµy 12-6-2004_KH chan nuoi 2016 (chinh thuc)" xfId="353"/>
    <cellStyle name="T_Book1_Chiªm Ho¸" xfId="354"/>
    <cellStyle name="T_Book1_Chu Th¨ng" xfId="355"/>
    <cellStyle name="T_Book1_KQDC + KHDC ®Õn 20-6" xfId="356"/>
    <cellStyle name="T_Book1_KQDC + KHDC ®Õn 20-6_KH 2016 chan nuoi" xfId="357"/>
    <cellStyle name="T_Book1_KQDC + KHDC ®Õn 20-6_KH chan nuoi 2016 (chinh thuc)" xfId="358"/>
    <cellStyle name="T_Book1_KQDC tuÇn 1" xfId="359"/>
    <cellStyle name="T_Book1_KQDC tuÇn 1_KH 2016 chan nuoi" xfId="360"/>
    <cellStyle name="T_Book1_KQDC tuÇn 1_KH chan nuoi 2016 (chinh thuc)" xfId="361"/>
    <cellStyle name="T_Book1_KQDC th¸ng 5 (®Õn 31-5)" xfId="362"/>
    <cellStyle name="T_Book1_KQDC th¸ng 5 (®Õn 31-5)_KH 2016 chan nuoi" xfId="363"/>
    <cellStyle name="T_Book1_KQDC th¸ng 5 (®Õn 31-5)_KH chan nuoi 2016 (chinh thuc)" xfId="364"/>
    <cellStyle name="T_Book1_KQDC th¸ng 6 (luü kÕ)" xfId="365"/>
    <cellStyle name="T_Book1_KQDC th¸ng 6 (luü kÕ)_KH 2016 chan nuoi" xfId="366"/>
    <cellStyle name="T_Book1_KQDC th¸ng 6 (luü kÕ)_KH chan nuoi 2016 (chinh thuc)" xfId="367"/>
    <cellStyle name="T_Book1_KH 2016 chan nuoi" xfId="368"/>
    <cellStyle name="T_Book1_KH chan nuoi 2016 (chinh thuc)" xfId="369"/>
    <cellStyle name="T_Book1_T7N26 BC 6 thang kem BC 199" xfId="370"/>
    <cellStyle name="T_Book1_TTr bæ xung Q§ di chuyÓn" xfId="371"/>
    <cellStyle name="T_Book1_TH 25-5-2004moi" xfId="372"/>
    <cellStyle name="T_Book1_TH 25-5-2004moi_KH 2016 chan nuoi" xfId="373"/>
    <cellStyle name="T_Book1_TH 25-5-2004moi_KH chan nuoi 2016 (chinh thuc)" xfId="374"/>
    <cellStyle name="T_Book1_Theo dâi tiÕn ®é di chuyÓn theo ngµy" xfId="375"/>
    <cellStyle name="T_Book1_Theo dâi tiÕn ®é di chuyÓn theo ngµy_KH 2016 chan nuoi" xfId="376"/>
    <cellStyle name="T_Book1_Theo dâi tiÕn ®é di chuyÓn theo ngµy_KH chan nuoi 2016 (chinh thuc)" xfId="377"/>
    <cellStyle name="T_Book1_ÿÿÿÿÿ" xfId="378"/>
    <cellStyle name="T_Copy of BiÓu tæng hîp kinh phÝ ®Õn ngµy 12-6-2004" xfId="379"/>
    <cellStyle name="T_Copy of BiÓu tæng hîp kinh phÝ ®Õn ngµy 12-6-2004_KH 2016 chan nuoi" xfId="380"/>
    <cellStyle name="T_Copy of BiÓu tæng hîp kinh phÝ ®Õn ngµy 12-6-2004_KH chan nuoi 2016 (chinh thuc)" xfId="381"/>
    <cellStyle name="T_Chiªm Ho¸" xfId="382"/>
    <cellStyle name="T_Chu Cuong" xfId="383"/>
    <cellStyle name="T_Chu Th¨ng" xfId="384"/>
    <cellStyle name="T_KQDC + KHDC ®Õn 20-6" xfId="385"/>
    <cellStyle name="T_KQDC + KHDC ®Õn 20-6_KH 2016 chan nuoi" xfId="386"/>
    <cellStyle name="T_KQDC + KHDC ®Õn 20-6_KH chan nuoi 2016 (chinh thuc)" xfId="387"/>
    <cellStyle name="T_KQDC tuÇn 1" xfId="388"/>
    <cellStyle name="T_KQDC tuÇn 1_KH 2016 chan nuoi" xfId="389"/>
    <cellStyle name="T_KQDC th¸ng 5 (®Õn 31-5)" xfId="390"/>
    <cellStyle name="T_KQDC th¸ng 5 (®Õn 31-5)_KH 2016 chan nuoi" xfId="391"/>
    <cellStyle name="T_KQDC th¸ng 6 (luü kÕ)" xfId="392"/>
    <cellStyle name="T_KQDC th¸ng 6 (luü kÕ)_KH 2016 chan nuoi" xfId="393"/>
    <cellStyle name="T_KH 2016 chan nuoi" xfId="394"/>
    <cellStyle name="T_KH chan nuoi 2016 (chinh thuc)" xfId="395"/>
    <cellStyle name="T_TTr bæ xung Q§ di chuyÓn" xfId="396"/>
    <cellStyle name="T_TH 25-5-2004moi" xfId="397"/>
    <cellStyle name="T_TH 25-5-2004moi_KH 2016 chan nuoi" xfId="398"/>
    <cellStyle name="T_TH 25-5-2004moi_KH chan nuoi 2016 (chinh thuc)" xfId="399"/>
    <cellStyle name="T_Theo dâi tiÕn ®é di chuyÓn theo ngµy" xfId="400"/>
    <cellStyle name="T_Theo dâi tiÕn ®é di chuyÓn theo ngµy_1" xfId="401"/>
    <cellStyle name="T_Theo dâi tiÕn ®é di chuyÓn theo ngµy_1_KH 2016 chan nuoi" xfId="402"/>
    <cellStyle name="T_Theo dâi tiÕn ®é di chuyÓn theo ngµy_1_KH chan nuoi 2016 (chinh thuc)" xfId="403"/>
    <cellStyle name="T_Theo dâi tiÕn ®é di chuyÓn theo ngµy_KH 2016 chan nuoi" xfId="404"/>
    <cellStyle name="Tiêu đề" xfId="405"/>
    <cellStyle name="Tính toán" xfId="406"/>
    <cellStyle name="Title 2" xfId="407"/>
    <cellStyle name="Total 2" xfId="408"/>
    <cellStyle name="Total 3" xfId="409"/>
    <cellStyle name="Tổng" xfId="410"/>
    <cellStyle name="Tốt" xfId="411"/>
    <cellStyle name="th" xfId="412"/>
    <cellStyle name="þ_x001d_ð¤_x000c_¯þ_x0014__x000d_¨þU_x0001_À_x0004_ _x0015__x000f__x0001__x0001_" xfId="413"/>
    <cellStyle name="þ_x001d_ð·_x000c_æþ'_x000d_ßþU_x0001_Ø_x0005_ü_x0014__x0007__x0001__x0001_" xfId="414"/>
    <cellStyle name="þ_x001d_ðÇ%Uý—&amp;Hý9_x0008_Ÿ_x0009_s_x000a__x0007__x0001__x0001_" xfId="415"/>
    <cellStyle name="Trung tính" xfId="416"/>
    <cellStyle name="Valuta (0)_CALPREZZ" xfId="417"/>
    <cellStyle name="Valuta_ PESO ELETTR." xfId="418"/>
    <cellStyle name="Văn bản Cảnh báo" xfId="419"/>
    <cellStyle name="Văn bản Giải thích" xfId="420"/>
    <cellStyle name="viet" xfId="421"/>
    <cellStyle name="viet2" xfId="422"/>
    <cellStyle name="vntxt1" xfId="423"/>
    <cellStyle name="vntxt2" xfId="424"/>
    <cellStyle name="vnhead1" xfId="425"/>
    <cellStyle name="vnhead3" xfId="426"/>
    <cellStyle name="Währung [0]_UXO VII" xfId="427"/>
    <cellStyle name="Währung_UXO VII" xfId="428"/>
    <cellStyle name="Walutowy [0]_Invoices2001Slovakia" xfId="429"/>
    <cellStyle name="Walutowy_Invoices2001Slovakia" xfId="430"/>
    <cellStyle name="Warning Text 2" xfId="431"/>
    <cellStyle name="Xấu" xfId="432"/>
    <cellStyle name="xuan" xfId="433"/>
    <cellStyle name=" [0.00]_ Att. 1- Cover" xfId="434"/>
    <cellStyle name="_ Att. 1- Cover" xfId="435"/>
    <cellStyle name="?_ Att. 1- Cover" xfId="436"/>
    <cellStyle name="똿뗦먛귟 [0.00]_PRODUCT DETAIL Q1" xfId="437"/>
    <cellStyle name="똿뗦먛귟_PRODUCT DETAIL Q1" xfId="438"/>
    <cellStyle name="믅됞 [0.00]_PRODUCT DETAIL Q1" xfId="439"/>
    <cellStyle name="믅됞_PRODUCT DETAIL Q1" xfId="440"/>
    <cellStyle name="백분율_95" xfId="441"/>
    <cellStyle name="뷭?_BOOKSHIP" xfId="442"/>
    <cellStyle name="콤마 [0]_ 비목별 월별기술 " xfId="443"/>
    <cellStyle name="콤마_ 비목별 월별기술 " xfId="444"/>
    <cellStyle name="통화 [0]_1202" xfId="445"/>
    <cellStyle name="통화_1202" xfId="446"/>
    <cellStyle name="표준_(정보부문)월별인원계획" xfId="447"/>
    <cellStyle name="一般_00Q3902REV.1" xfId="448"/>
    <cellStyle name="千分位[0]_00Q3902REV.1" xfId="449"/>
    <cellStyle name="千分位_00Q3902REV.1" xfId="450"/>
    <cellStyle name="常规_99midnew1_2000MYR" xfId="451"/>
    <cellStyle name="桁区切り_NADUONG BQ (Draft)" xfId="452"/>
    <cellStyle name="標準_BQ（業者）" xfId="453"/>
    <cellStyle name="貨幣 [0]_00Q3902REV.1" xfId="454"/>
    <cellStyle name="貨幣[0]_BRE" xfId="455"/>
    <cellStyle name="貨幣_00Q3902REV.1" xfId="456"/>
    <cellStyle name="通貨_MITSUI1_BQ" xfId="4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55" Type="http://schemas.openxmlformats.org/officeDocument/2006/relationships/externalLink" Target="externalLinks/externalLink33.xml"/><Relationship Id="rId63" Type="http://schemas.openxmlformats.org/officeDocument/2006/relationships/externalLink" Target="externalLinks/externalLink41.xml"/><Relationship Id="rId68" Type="http://schemas.openxmlformats.org/officeDocument/2006/relationships/externalLink" Target="externalLinks/externalLink46.xml"/><Relationship Id="rId76" Type="http://schemas.openxmlformats.org/officeDocument/2006/relationships/externalLink" Target="externalLinks/externalLink54.xml"/><Relationship Id="rId84" Type="http://schemas.openxmlformats.org/officeDocument/2006/relationships/externalLink" Target="externalLinks/externalLink62.xml"/><Relationship Id="rId89" Type="http://schemas.openxmlformats.org/officeDocument/2006/relationships/externalLink" Target="externalLinks/externalLink67.xml"/><Relationship Id="rId97" Type="http://schemas.openxmlformats.org/officeDocument/2006/relationships/externalLink" Target="externalLinks/externalLink75.xml"/><Relationship Id="rId7" Type="http://schemas.openxmlformats.org/officeDocument/2006/relationships/worksheet" Target="worksheets/sheet7.xml"/><Relationship Id="rId71" Type="http://schemas.openxmlformats.org/officeDocument/2006/relationships/externalLink" Target="externalLinks/externalLink49.xml"/><Relationship Id="rId92" Type="http://schemas.openxmlformats.org/officeDocument/2006/relationships/externalLink" Target="externalLinks/externalLink7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externalLink" Target="externalLinks/externalLink31.xml"/><Relationship Id="rId58" Type="http://schemas.openxmlformats.org/officeDocument/2006/relationships/externalLink" Target="externalLinks/externalLink36.xml"/><Relationship Id="rId66" Type="http://schemas.openxmlformats.org/officeDocument/2006/relationships/externalLink" Target="externalLinks/externalLink44.xml"/><Relationship Id="rId74" Type="http://schemas.openxmlformats.org/officeDocument/2006/relationships/externalLink" Target="externalLinks/externalLink52.xml"/><Relationship Id="rId79" Type="http://schemas.openxmlformats.org/officeDocument/2006/relationships/externalLink" Target="externalLinks/externalLink57.xml"/><Relationship Id="rId87" Type="http://schemas.openxmlformats.org/officeDocument/2006/relationships/externalLink" Target="externalLinks/externalLink65.xml"/><Relationship Id="rId102"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39.xml"/><Relationship Id="rId82" Type="http://schemas.openxmlformats.org/officeDocument/2006/relationships/externalLink" Target="externalLinks/externalLink60.xml"/><Relationship Id="rId90" Type="http://schemas.openxmlformats.org/officeDocument/2006/relationships/externalLink" Target="externalLinks/externalLink68.xml"/><Relationship Id="rId95" Type="http://schemas.openxmlformats.org/officeDocument/2006/relationships/externalLink" Target="externalLinks/externalLink7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externalLink" Target="externalLinks/externalLink34.xml"/><Relationship Id="rId64" Type="http://schemas.openxmlformats.org/officeDocument/2006/relationships/externalLink" Target="externalLinks/externalLink42.xml"/><Relationship Id="rId69" Type="http://schemas.openxmlformats.org/officeDocument/2006/relationships/externalLink" Target="externalLinks/externalLink47.xml"/><Relationship Id="rId77" Type="http://schemas.openxmlformats.org/officeDocument/2006/relationships/externalLink" Target="externalLinks/externalLink55.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9.xml"/><Relationship Id="rId72" Type="http://schemas.openxmlformats.org/officeDocument/2006/relationships/externalLink" Target="externalLinks/externalLink50.xml"/><Relationship Id="rId80" Type="http://schemas.openxmlformats.org/officeDocument/2006/relationships/externalLink" Target="externalLinks/externalLink58.xml"/><Relationship Id="rId85" Type="http://schemas.openxmlformats.org/officeDocument/2006/relationships/externalLink" Target="externalLinks/externalLink63.xml"/><Relationship Id="rId93" Type="http://schemas.openxmlformats.org/officeDocument/2006/relationships/externalLink" Target="externalLinks/externalLink71.xml"/><Relationship Id="rId98" Type="http://schemas.openxmlformats.org/officeDocument/2006/relationships/externalLink" Target="externalLinks/externalLink7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externalLink" Target="externalLinks/externalLink37.xml"/><Relationship Id="rId67" Type="http://schemas.openxmlformats.org/officeDocument/2006/relationships/externalLink" Target="externalLinks/externalLink45.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externalLink" Target="externalLinks/externalLink32.xml"/><Relationship Id="rId62" Type="http://schemas.openxmlformats.org/officeDocument/2006/relationships/externalLink" Target="externalLinks/externalLink40.xml"/><Relationship Id="rId70" Type="http://schemas.openxmlformats.org/officeDocument/2006/relationships/externalLink" Target="externalLinks/externalLink48.xml"/><Relationship Id="rId75" Type="http://schemas.openxmlformats.org/officeDocument/2006/relationships/externalLink" Target="externalLinks/externalLink53.xml"/><Relationship Id="rId83" Type="http://schemas.openxmlformats.org/officeDocument/2006/relationships/externalLink" Target="externalLinks/externalLink61.xml"/><Relationship Id="rId88" Type="http://schemas.openxmlformats.org/officeDocument/2006/relationships/externalLink" Target="externalLinks/externalLink66.xml"/><Relationship Id="rId91" Type="http://schemas.openxmlformats.org/officeDocument/2006/relationships/externalLink" Target="externalLinks/externalLink69.xml"/><Relationship Id="rId96" Type="http://schemas.openxmlformats.org/officeDocument/2006/relationships/externalLink" Target="externalLinks/externalLink7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externalLink" Target="externalLinks/externalLink35.xml"/><Relationship Id="rId10" Type="http://schemas.openxmlformats.org/officeDocument/2006/relationships/worksheet" Target="worksheets/sheet10.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externalLink" Target="externalLinks/externalLink38.xml"/><Relationship Id="rId65" Type="http://schemas.openxmlformats.org/officeDocument/2006/relationships/externalLink" Target="externalLinks/externalLink43.xml"/><Relationship Id="rId73" Type="http://schemas.openxmlformats.org/officeDocument/2006/relationships/externalLink" Target="externalLinks/externalLink51.xml"/><Relationship Id="rId78" Type="http://schemas.openxmlformats.org/officeDocument/2006/relationships/externalLink" Target="externalLinks/externalLink56.xml"/><Relationship Id="rId81" Type="http://schemas.openxmlformats.org/officeDocument/2006/relationships/externalLink" Target="externalLinks/externalLink59.xml"/><Relationship Id="rId86" Type="http://schemas.openxmlformats.org/officeDocument/2006/relationships/externalLink" Target="externalLinks/externalLink64.xml"/><Relationship Id="rId94" Type="http://schemas.openxmlformats.org/officeDocument/2006/relationships/externalLink" Target="externalLinks/externalLink72.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7.xml"/></Relationships>
</file>

<file path=xl/drawings/drawing1.xml><?xml version="1.0" encoding="utf-8"?>
<xdr:wsDr xmlns:xdr="http://schemas.openxmlformats.org/drawingml/2006/spreadsheetDrawing" xmlns:a="http://schemas.openxmlformats.org/drawingml/2006/main">
  <xdr:twoCellAnchor>
    <xdr:from>
      <xdr:col>1</xdr:col>
      <xdr:colOff>550316</xdr:colOff>
      <xdr:row>1</xdr:row>
      <xdr:rowOff>14941</xdr:rowOff>
    </xdr:from>
    <xdr:to>
      <xdr:col>1</xdr:col>
      <xdr:colOff>1352705</xdr:colOff>
      <xdr:row>1</xdr:row>
      <xdr:rowOff>14942</xdr:rowOff>
    </xdr:to>
    <xdr:cxnSp macro="">
      <xdr:nvCxnSpPr>
        <xdr:cNvPr id="2" name="Straight Connector 1">
          <a:extLst>
            <a:ext uri="{FF2B5EF4-FFF2-40B4-BE49-F238E27FC236}">
              <a16:creationId xmlns="" xmlns:a16="http://schemas.microsoft.com/office/drawing/2014/main" id="{FB9F2BC4-BD2F-403E-9E53-1CD91F9A98E6}"/>
            </a:ext>
          </a:extLst>
        </xdr:cNvPr>
        <xdr:cNvCxnSpPr/>
      </xdr:nvCxnSpPr>
      <xdr:spPr>
        <a:xfrm flipV="1">
          <a:off x="807491" y="434041"/>
          <a:ext cx="80238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Na%20Ha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OCUMENT\DAUTHAU\Dungquat\GOI3\DUNGQUAT-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t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167;&#210;n%20b&#239;%20Na%20Hang\lien\HA\DG%20DT%20LM\My%20Documents\TUYEN\QT-%20Tinh\T&#181;i%20Ch&#221;nh%20-%20Xu&#169;n%20L&#203;p\T&#181;iCh&#221;nh%20-%20Y&#170;n%20L&#169;m\TaiChinh%20-%20Yen%20la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249;%20to&#184;n%20Ng&#185;n%20s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My%20Documents\Ho%20Quyen\Nha%20truc%20TH%20Bac%20vinh\Nha%20truc%20TH%20Bac%20vinh\My%20Documents\CS3408\Standard\RP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ung%20Quat\Nhom%20GC\New%20Folder\My%20Documents\3533\99Q\99Q3657\99Q3299(REV.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CTWB\DTM\DT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N%20Ng&#228;c\BC%20n&#168;m%202003\tha\Tai%20Chinh-%20QT-Halang.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DTN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inh\THANH-NIAPP\T&#184;i%20&#174;&#222;nh%20c&#173;%20Kh&#171;n\A-TUOI\financal\luu\F_BL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ay3\may3_c\LIEN\TPDN\KHUETR\dth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uong_kh\dung_chung\My%20Documents\tantt\tantt\tantt\BSQ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Sinh\THANH-NIAPP\Giang\Ctao%20luoi%20khu%20Chau%20Giang%20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167;&#210;n%20b&#239;%20Na%20Hang\lien\HA\DG%20DT%20LM\My%20Documents\TUYEN\QT-%20Tinh\T&#181;i%20Ch&#221;nh%20-%20Xu&#169;n%20L&#203;p\T&#181;iCh&#221;nh%20-%20Y&#170;n%20L&#169;m\DU%20TOAN_YenLam_TongHo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s.yen\c\H-YEN\LUU%20XA\DUYET\DZ110K~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XDCB1\C\My%20Documents\Hoanganh\My%20Documents\Vinh%20-%20ngh&#214;%20an\TG%20Vinh.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Binh\Binh-bang-tinh\Chong-qua-tai-Quan-Hanh.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My%20Documents\Ho%20Quyen\Cac%20CT%20von%20vay\DZ%20va%20tram%20Thanh%20Khai\TT%20GD1%20Thanh%20Kha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ung%20Quat\Nhom%20GC\New%20Folder\My%20Documents\3533\99Q\99Q3657\99Q3299(REV.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ehoach2\c\thao\Thanhhoa\l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DCB1\C\yenthanh%2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User1\c\My%20Documents\Qu&#182;n%20l&#253;%20h&#229;%20s&#172;\Quy&#213;t%20to&#184;n%20c&#184;c%20c&#171;ng%20tr&#215;nh\Thai%20nguy&#170;n\Quy&#213;t%20to&#184;n\Ng&#185;n%20S&#172;n%20-%20L&#185;ng%20S&#172;n\D&#249;%20to&#184;n.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Dt22kv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BE%203\LE%20LOI%20-nam%20vinh\Lan\Nghe%20an\QT%20Ben%20thuy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CAPITAL\110TKKT\dongxua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Sinh\THANH-NIAPP\DMLDTB.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dtk48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y2\c\mia%20duong\LDDOLO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T500\CAPITAL\220nb-th\CAPITAL\220DTXL\PLQN9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Dung%20Quat\Nhom%20GC\New%20Folder\My%20Documents\3533\96Q\96q2588\PANE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Kehoach2\c\thao\Namdinh\tranlam.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DCB1\C\My%20Documents\Hoanganh\Hoa\Van%20Giang%2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XDCB1\C\My%20Documents\Giang\DOICOCBG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resario\c\My%20Documents\HSMAU\KHUTEN.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My%20Documents\CAPITAL\110TKKT\dongxua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XDCB3\C\My%20Documents\benthuy1-xld.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CS3408\Standard\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My%20Documents\Ho%20Quyen\DZ%20va%20tram%20Hung%20Trung\My%20Documents\CS3408\Standard\RP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uong_kh\dung_chung\My%20Documents\QTCNVHHK.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uong_kh\dung_chung\My%20Documents\CTNTTH.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XDCB1\C\My%20Documents\Hoanganh\Tay%20Thanh.xls"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DTDZ22KVAH.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KHONGNEN.LUU\CHIHANH\DIA2\B-CAOQ~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huong\c\Hanoi\DongAnh\Du%20Toan%20TK%20Ngoc%20Thuy.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resario\c\My%20Documents\XUANHA\tantt\QTCNVHHK.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NEW\DT-MOI\NGHEAN\CUALO\TBA110cu.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S&#417;n%20D&#432;&#417;ng.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DT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i_kh\huong_xl1\Congviec\Tam.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Bi&#7875;u%20%2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Nam%202023\NTM\KH%20n&#259;m%202023\V&#7889;n%20&#272;T%20DTTS.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Chi%20ti&#7871;t%20DA%205%20DTTS.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T2-2023)%20Bi&#7875;u%20kem%20theo%20Von%20Su%20nghiep%20NTM%20202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Chi%20ti&#7871;t%20DA%203%20DTTS.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Bieu%20kem%20theo%20QD%20so%2072%20cua%20UBND%20tinh.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Nam%202023\NTM\KH%20n&#259;m%202023\18.3.G&#7917;i%20SKH%20l&#7847;n%201\TLH.Bi&#7875;u%20KH%20NTM%20202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V&#7889;n%20gi&#7843;m%20ngh&#232;o%20g&#7917;i%20Duy&#234;n.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50E8BCA5\7.1CH.xlsx"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ZNHADA.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B95EA338\10.1SD.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Users\Admin\Desktop\V&#7889;n%20&#272;TPT%20NTM%202023.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B&#7842;N%20L&#431;U%20LINH%20TINH%202021\TAI%20LI&#7878;U%20L&#431;U%20N&#258;M%202020\HE%20THONG\Downloads\67.1%20Chi&#234;m%20Ho&#225;.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65541246\38_Bieu_giao_chi_tiet_KH_BTH_GTNT_202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B&#237;ch\N&#259;m%202023\CT%20MTQG\10-03-2023%20BAO_CAO_TIEN_DO_HIEN_03%20CTMT%20n&#259;m%202023.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0.Chuong%20trinh%20MTQGXD%20Nong%20thon%20moi%202020-2030\1.To%20trinh%20cua%20So,%20huyen%202020-2030\To%20trinh%20cua%20So,%20huyen%20NTM%202023\H&#224;m%20Y&#234;n.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7D071936\X&#227;%20n&#259;m%202022%20(chuy&#7875;n%20sang%20th&#7921;c%20hi&#7879;n%2020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2\c\mia%20duong\LOCLDT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Sinh\THANH-NIAPP\khu%2019%20-%2020%20H.%20B&#215;nh%20TP.%20Vinh(giai%20&#174;o&#185;n%20I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NT-QUOT-#3"/>
      <sheetName val="COAT&amp;WRAP-QIOT-#3"/>
      <sheetName val="XL4Poppy"/>
      <sheetName val="Sheet1"/>
      <sheetName val="Sheet2"/>
      <sheetName val="Sheet3"/>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00000000"/>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So Do"/>
      <sheetName val="KTTSCD - DLNA"/>
      <sheetName val="quÝ1"/>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4"/>
      <sheetName val="T5"/>
      <sheetName val="T6"/>
      <sheetName val="T.7"/>
      <sheetName val="T.8"/>
      <sheetName val="T8 (2)"/>
      <sheetName val="T.9"/>
      <sheetName val="T.10"/>
      <sheetName val="T.11"/>
      <sheetName val="T.12"/>
      <sheetName val="T10"/>
      <sheetName val="T11 "/>
      <sheetName val="5 nam (tach)"/>
      <sheetName val="5 nam (tach) (2)"/>
      <sheetName val="KH 2003"/>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TH Ky Anh"/>
      <sheetName val="Sheet2 (2)"/>
      <sheetName val="t1"/>
      <sheetName val="T11"/>
      <sheetName val="phan tich DG"/>
      <sheetName val="gia vat lieu"/>
      <sheetName val="gia xe may"/>
      <sheetName val="gia nhan cong"/>
      <sheetName val="XL4Test5"/>
      <sheetName val="Bia"/>
      <sheetName val="Tm"/>
      <sheetName val="THKP"/>
      <sheetName val="DGi"/>
      <sheetName val="fOOD"/>
      <sheetName val="FORM hc"/>
      <sheetName val="FORM pc"/>
      <sheetName val="CamPha"/>
      <sheetName val="MongCai"/>
      <sheetName val="70000000"/>
      <sheetName val="PNT_QUOT__3"/>
      <sheetName val="COAT_WRAP_QIOT__3"/>
      <sheetName val="TH  goi 4-x"/>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cocB40 5B"/>
      <sheetName val="cocD50 9A"/>
      <sheetName val="cocD75 16"/>
      <sheetName val="coc B80 TD25"/>
      <sheetName val="P27 B80"/>
      <sheetName val="Coc23 B80"/>
      <sheetName val="cong B80 C4"/>
      <sheetName val="CV den trong to聮g"/>
      <sheetName val="kl m m d"/>
      <sheetName val="kl vt tho"/>
      <sheetName val="kl dat"/>
      <sheetName val="Sheet4"/>
      <sheetName val="xin kinh phi"/>
      <sheetName val="lan trai"/>
      <sheetName val="thuoc no"/>
      <sheetName val="so thuc pham"/>
      <sheetName val="ȴ0000000"/>
      <sheetName val="BangTH"/>
      <sheetName val="Xaylap "/>
      <sheetName val="Nhan cong"/>
      <sheetName val="Thietbi"/>
      <sheetName val="Diengiai"/>
      <sheetName val="Vanchuyen"/>
      <sheetName val="tmt4"/>
      <sheetName val="t3-01"/>
      <sheetName val="t4-01"/>
      <sheetName val="t5-01"/>
      <sheetName val="t6-01"/>
      <sheetName val="t7-01"/>
      <sheetName val="t8-01"/>
      <sheetName val="t9-01"/>
      <sheetName val="t10-01"/>
      <sheetName val="t11-01"/>
      <sheetName val="t12-"/>
      <sheetName val="t2"/>
      <sheetName val="t3"/>
      <sheetName val="t06"/>
      <sheetName val="t07"/>
      <sheetName val="t08"/>
      <sheetName val="t09"/>
      <sheetName val="t12"/>
      <sheetName val="0103"/>
      <sheetName val="0203"/>
      <sheetName val="th-nop"/>
      <sheetName val="th"/>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Km27' - Km278"/>
      <sheetName val="Bao cao KQTH quy hoach 135"/>
      <sheetName val="Sheet5"/>
      <sheetName val="Sheet6"/>
      <sheetName val="Sheet7"/>
      <sheetName val="Sheet8"/>
      <sheetName val="Sheet9"/>
      <sheetName val="Sheet10"/>
      <sheetName val="XLÇ_x0015_oppy"/>
      <sheetName val="Thang06-2002"/>
      <sheetName val="Thang07-2002"/>
      <sheetName val="Thang08-2002"/>
      <sheetName val="Thang09-2002"/>
      <sheetName val="Thang10-2002 "/>
      <sheetName val="Thang11-2002"/>
      <sheetName val="Thang12-2002"/>
      <sheetName val="Sheet1 (3)"/>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ADKT"/>
      <sheetName val="Oð mai 279"/>
      <sheetName val="SOLIEU"/>
      <sheetName val="TINHTOAN"/>
      <sheetName val="120"/>
      <sheetName val="IFAD"/>
      <sheetName val="CVHN"/>
      <sheetName val="TCVM"/>
      <sheetName val="RIDP"/>
      <sheetName val="LDNN"/>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PNT-QUOT-D150#3"/>
      <sheetName val="PNT-QUOT-H153#3"/>
      <sheetName val="PNT-QUOT-K152#3"/>
      <sheetName val="PNT-QUOT-H146#3"/>
      <sheetName val="T_x000b_331"/>
      <sheetName val="Shedt1"/>
      <sheetName val="_x0012_0000000"/>
      <sheetName val="K43"/>
      <sheetName val="THKL"/>
      <sheetName val="PL43"/>
      <sheetName val="K43+0.00 - 338 Trai"/>
      <sheetName val="mau kiem ke"/>
      <sheetName val="quyet toan HD 2000"/>
      <sheetName val="quyet toan hoa don 2001"/>
      <sheetName val="kiem ke hoa don 2001"/>
      <sheetName val="QUY III 02"/>
      <sheetName val="QUY IV 02"/>
      <sheetName val="QUYET TOAN 02"/>
      <sheetName val="Sheet15"/>
      <sheetName val="TDT-TBࡁ"/>
      <sheetName val="0304"/>
      <sheetName val="0904"/>
      <sheetName val="1204"/>
      <sheetName val="80000000"/>
      <sheetName val="90000000"/>
      <sheetName val="a0000000"/>
      <sheetName val="b0000000"/>
      <sheetName val="c0000000"/>
      <sheetName val="xdcb 01-2003"/>
      <sheetName val="Thang 07"/>
      <sheetName val="T10-05"/>
      <sheetName val="T9-05"/>
      <sheetName val="t805"/>
      <sheetName val="11T"/>
      <sheetName val="9T"/>
      <sheetName val="XXXXX\XX"/>
      <sheetName val="Cong ban 1,5_x0013__x0000_"/>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BKLBD"/>
      <sheetName val="PTDG"/>
      <sheetName val="DTCT"/>
      <sheetName val="vlct"/>
      <sheetName val="Sheet11"/>
      <sheetName val="Sheet12"/>
      <sheetName val="Sheet13"/>
      <sheetName val="Sheet14"/>
      <sheetName val="Áo"/>
      <sheetName val="Km&quot;80"/>
      <sheetName val="Lap ®at ®hÖn"/>
      <sheetName val="Km283 - Jm284"/>
      <sheetName val="_x000b_luong phu"/>
      <sheetName val="[PNT-P3.xlsUTong hop (2)"/>
      <sheetName val="Km276 - Ke277"/>
      <sheetName val="[PNT-P3.xlsUKm279 - Km280"/>
      <sheetName val="ESTI."/>
      <sheetName val="DI-ESTI"/>
      <sheetName val="p0000000"/>
      <sheetName val="Kѭ284"/>
      <sheetName val="TL33-13.14"/>
      <sheetName val="tlđm190337,8"/>
      <sheetName val="GC190337,8"/>
      <sheetName val="033,7,8"/>
      <sheetName val="TL033 ,2,4"/>
      <sheetName val="TL 0331,2"/>
      <sheetName val="033-1,4"/>
      <sheetName val="TL033,19,5"/>
      <sheetName val="Khac DP"/>
      <sheetName val="Khoi than "/>
      <sheetName val="B3_208_than"/>
      <sheetName val="B3_208_TU"/>
      <sheetName val="B3_208_TW"/>
      <sheetName val="B3_208_DP"/>
      <sheetName val="B3_208_khac"/>
      <sheetName val="Thang8-02"/>
      <sheetName val="Thang9-02"/>
      <sheetName val="Thang10-02"/>
      <sheetName val="Thang11-02"/>
      <sheetName val="Thang12-02"/>
      <sheetName val="Thang01-03"/>
      <sheetName val="Thang02-03"/>
      <sheetName val="Dong$bac"/>
      <sheetName val="TAU"/>
      <sheetName val="KHACH"/>
      <sheetName val="BC1"/>
      <sheetName val="BC2"/>
      <sheetName val="BAO CAO AN"/>
      <sheetName val="BANGKEKHACH"/>
      <sheetName val="Du tnan chi tiet coc nuoc"/>
      <sheetName val="Macro1"/>
      <sheetName val="Macro2"/>
      <sheetName val="Macro3"/>
      <sheetName val="7000 000"/>
      <sheetName val="gìIÏÝ_x001c_Ã_x0008_ç¾{è"/>
      <sheetName val="TNghiªm T_x0002_ "/>
      <sheetName val="tt-_x0014_BA"/>
      <sheetName val="TD_x0014_"/>
      <sheetName val="_x0014_.12"/>
      <sheetName val="QD c5a HDQT (2)"/>
      <sheetName val="_x0003_hart1"/>
      <sheetName val="ct luong "/>
      <sheetName val="Nhap 6T"/>
      <sheetName val="baocaochinh(qui1.05) (DC)"/>
      <sheetName val="Ctuluongq.1.05"/>
      <sheetName val="BANG PHAN BO qui1.05(DC)"/>
      <sheetName val="BANG PHAN BO quiII.05"/>
      <sheetName val="bao cac cinh Qui II-2005"/>
      <sheetName val="Song ban 0,7x0,7"/>
      <sheetName val="Cong ban 0,8x ,8"/>
      <sheetName val="VÃt liÖu"/>
      <sheetName val="gVL"/>
      <sheetName val="Baocao"/>
      <sheetName val="UT"/>
      <sheetName val="TongHopHD"/>
      <sheetName val=""/>
      <sheetName val="XNxlva sxthanKCIÉ"/>
      <sheetName val="30100000"/>
      <sheetName val="Op mai 2_x000c__x0000_"/>
      <sheetName val="_x0000_bÑi_x0003__x0000__x0000__x0000__x0000_²r_x0013__x0000_"/>
      <sheetName val="Km_x0012_77 "/>
      <sheetName val="k, vt tho"/>
      <sheetName val="Km280 ࠭ Km281"/>
      <sheetName val="Diem mon hoc"/>
      <sheetName val="Tong hop diem"/>
      <sheetName val="HoTen-khong duoc xoa"/>
      <sheetName val="BCDSPS"/>
      <sheetName val="BCDKT"/>
      <sheetName val="Tong (op"/>
      <sheetName val="Coc 4ieu"/>
      <sheetName val="ၔong hop QL48 - 2"/>
      <sheetName val="Km266"/>
      <sheetName val="Shaet13"/>
      <sheetName val="Don gia"/>
      <sheetName val="Nhap du lieu"/>
      <sheetName val="CVden nw8ai TCT (1)"/>
      <sheetName val="Ton 31.1"/>
      <sheetName val="NhapT.2"/>
      <sheetName val="Xuat T.2"/>
      <sheetName val="Ton 28.2"/>
      <sheetName val="H.Tra"/>
      <sheetName val="Hang CTY TRA LAI"/>
      <sheetName val="Hang NV Tra Lai"/>
      <sheetName val="GS02-thu0TM"/>
      <sheetName val="Mp mai 275"/>
      <sheetName val="Package1"/>
      <sheetName val="gia x_x0000_ may"/>
      <sheetName val="bc"/>
      <sheetName val="K.O"/>
      <sheetName val="xang _clc"/>
      <sheetName val="X¡NG_td"/>
      <sheetName val="MaZUT"/>
      <sheetName val="DIESEL"/>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mua vao"/>
      <sheetName val="chi phi "/>
      <sheetName val="ban ra 10%"/>
      <sheetName val="??-BLDG"/>
      <sheetName val="thaß26"/>
      <sheetName val="_x0000__x000d__x0000__x0000__x0000_âO"/>
      <sheetName val="_x0000__x000f__x0000__x0000__x0000_½"/>
      <sheetName val="_x0000__x0000_²r"/>
      <sheetName val="_x0000__x0000__x0000__x0000__x0000_M pc_x0006__x0000__x0000_CamPh_x0000__x0000_"/>
      <sheetName val="Cong ban 1,5„—_x0013__x0000_"/>
      <sheetName val="TNghiÖ- VL"/>
      <sheetName val="Sÿÿÿÿ"/>
      <sheetName val="quÿÿ"/>
      <sheetName val="CV den trong to?g"/>
      <sheetName val="?0000000"/>
      <sheetName val="CDPS3"/>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K-280 - Km281"/>
      <sheetName val="Dimu"/>
      <sheetName val="Klct"/>
      <sheetName val="Covi"/>
      <sheetName val="Nlvt"/>
      <sheetName val="Innl"/>
      <sheetName val="Invt"/>
      <sheetName val="Chon"/>
      <sheetName val="Qtnv"/>
      <sheetName val="Bqtn"/>
      <sheetName val="Bqtv"/>
      <sheetName val="Giao"/>
      <sheetName val="Dcap"/>
      <sheetName val="Nlie"/>
      <sheetName val="Mnli"/>
      <sheetName val="I"/>
      <sheetName val="I_x0005__x0000__x0000_"/>
      <sheetName val="K?284"/>
      <sheetName val="S2_x0000__x0000_1"/>
      <sheetName val="_x0003_har"/>
      <sheetName val="Cong ban 0,7p0,7"/>
      <sheetName val="Km275 - Ke276"/>
      <sheetName val="Km280 - Km2(1"/>
      <sheetName val="Km282 - Kl283"/>
      <sheetName val="Tong hop Op m!i"/>
      <sheetName val="t01.06"/>
      <sheetName val="Mix-Tarpaulin"/>
      <sheetName val="Tarpaulin"/>
      <sheetName val="Price"/>
      <sheetName val="Monthly"/>
      <sheetName val="For Summary"/>
      <sheetName val="For Summary(KG)"/>
      <sheetName val="PP Cloth"/>
      <sheetName val="Mix-PP Cloth"/>
      <sheetName val="Material Price-PP"/>
      <sheetName val="DŃ02"/>
      <sheetName val="Km27%"/>
      <sheetName val="O0 mai 279"/>
      <sheetName val="Op_x0000_mai 280"/>
      <sheetName val="Op mai 28_x0011_"/>
      <sheetName val="5 nam (tac`) (2)"/>
      <sheetName val="D%o nai"/>
      <sheetName val="CTT cao so."/>
      <sheetName val="XNxlva sxdhanKCII"/>
      <sheetName val="CTxay lap mo C_x0010_"/>
      <sheetName val="Giao nhÿÿÿÿvu"/>
      <sheetName val="⁋㌱Ա_x0000_䭔㌱س_x0000_䭔ㄠㄴ_x0006_牴湯⁧琠湯౧_x0000_杮楨搠湩⵨偃_x0006_匀敨瑥"/>
      <sheetName val="FORM jc"/>
      <sheetName val="tldm190337,8"/>
      <sheetName val="ADKTKT02"/>
      <sheetName val="GS08)B.hµng"/>
      <sheetName val="DG "/>
      <sheetName val="Giao nhie- vu"/>
      <sheetName val="Xa9lap "/>
      <sheetName val="_x000c__x0000__x0000__x0000__x0000__x0000__x0000__x0000__x000d__x0000__x0000__x0000_"/>
      <sheetName val="_x0000__x000f__x0000__x0000__x0000_‚ž½"/>
      <sheetName val="_x0000__x000d__x0000__x0000__x0000_âOŽ"/>
      <sheetName val="?ong hop QL48 - 2"/>
      <sheetName val="Giao nhiem fu"/>
      <sheetName val="QDcea TGD (2)"/>
      <sheetName val="tt chu don"/>
      <sheetName val="QD cua HDQ²_x0000__x0000_)"/>
      <sheetName val="P210-TP20"/>
      <sheetName val="CB32"/>
      <sheetName val="CTT NuiC_x000f_eo"/>
      <sheetName val="TDT-T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efreshError="1"/>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refreshError="1"/>
      <sheetData sheetId="416" refreshError="1"/>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sheetData sheetId="476"/>
      <sheetData sheetId="477"/>
      <sheetData sheetId="478"/>
      <sheetData sheetId="479"/>
      <sheetData sheetId="480"/>
      <sheetData sheetId="481"/>
      <sheetData sheetId="482"/>
      <sheetData sheetId="483"/>
      <sheetData sheetId="484"/>
      <sheetData sheetId="485"/>
      <sheetData sheetId="486" refreshError="1"/>
      <sheetData sheetId="487"/>
      <sheetData sheetId="488"/>
      <sheetData sheetId="489"/>
      <sheetData sheetId="490"/>
      <sheetData sheetId="49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sheetData sheetId="505"/>
      <sheetData sheetId="506"/>
      <sheetData sheetId="507" refreshError="1"/>
      <sheetData sheetId="508" refreshError="1"/>
      <sheetData sheetId="509"/>
      <sheetData sheetId="510" refreshError="1"/>
      <sheetData sheetId="511" refreshError="1"/>
      <sheetData sheetId="512" refreshError="1"/>
      <sheetData sheetId="513"/>
      <sheetData sheetId="514" refreshError="1"/>
      <sheetData sheetId="515"/>
      <sheetData sheetId="516"/>
      <sheetData sheetId="517"/>
      <sheetData sheetId="518"/>
      <sheetData sheetId="519"/>
      <sheetData sheetId="520" refreshError="1"/>
      <sheetData sheetId="521" refreshError="1"/>
      <sheetData sheetId="522"/>
      <sheetData sheetId="523" refreshError="1"/>
      <sheetData sheetId="524"/>
      <sheetData sheetId="525"/>
      <sheetData sheetId="526"/>
      <sheetData sheetId="527"/>
      <sheetData sheetId="528"/>
      <sheetData sheetId="529"/>
      <sheetData sheetId="530"/>
      <sheetData sheetId="531"/>
      <sheetData sheetId="532"/>
      <sheetData sheetId="533"/>
      <sheetData sheetId="534"/>
      <sheetData sheetId="535"/>
      <sheetData sheetId="536" refreshError="1"/>
      <sheetData sheetId="537" refreshError="1"/>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sheetData sheetId="615" refreshError="1"/>
      <sheetData sheetId="616" refreshError="1"/>
      <sheetData sheetId="617" refreshError="1"/>
      <sheetData sheetId="618" refreshError="1"/>
      <sheetData sheetId="619" refreshError="1"/>
      <sheetData sheetId="620"/>
      <sheetData sheetId="621"/>
      <sheetData sheetId="622"/>
      <sheetData sheetId="623" refreshError="1"/>
      <sheetData sheetId="624" refreshError="1"/>
      <sheetData sheetId="625" refreshError="1"/>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sheetData sheetId="643"/>
      <sheetData sheetId="644"/>
      <sheetData sheetId="645"/>
      <sheetData sheetId="646"/>
      <sheetData sheetId="647"/>
      <sheetData sheetId="648"/>
      <sheetData sheetId="649"/>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sheetData sheetId="659"/>
      <sheetData sheetId="660"/>
      <sheetData sheetId="661" refreshError="1"/>
      <sheetData sheetId="662" refreshError="1"/>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refreshError="1"/>
      <sheetData sheetId="677" refreshError="1"/>
      <sheetData sheetId="678" refreshError="1"/>
      <sheetData sheetId="679" refreshError="1"/>
      <sheetData sheetId="680"/>
      <sheetData sheetId="681" refreshError="1"/>
      <sheetData sheetId="682" refreshError="1"/>
      <sheetData sheetId="683" refreshError="1"/>
      <sheetData sheetId="684" refreshError="1"/>
      <sheetData sheetId="685"/>
      <sheetData sheetId="686" refreshError="1"/>
      <sheetData sheetId="687"/>
      <sheetData sheetId="688" refreshError="1"/>
      <sheetData sheetId="689"/>
      <sheetData sheetId="690"/>
      <sheetData sheetId="691" refreshError="1"/>
      <sheetData sheetId="692"/>
      <sheetData sheetId="693"/>
      <sheetData sheetId="694" refreshError="1"/>
      <sheetData sheetId="695" refreshError="1"/>
      <sheetData sheetId="696" refreshError="1"/>
      <sheetData sheetId="697" refreshError="1"/>
      <sheetData sheetId="698" refreshError="1"/>
      <sheetData sheetId="699" refreshError="1"/>
      <sheetData sheetId="700"/>
      <sheetData sheetId="701"/>
      <sheetData sheetId="702" refreshError="1"/>
      <sheetData sheetId="703" refreshError="1"/>
      <sheetData sheetId="704" refreshError="1"/>
      <sheetData sheetId="70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NH"/>
      <sheetName val="CH"/>
      <sheetName val="HY"/>
      <sheetName val="YS"/>
      <sheetName val="SD"/>
      <sheetName val="B1-TC NTM"/>
      <sheetName val="B1-TC NCao"/>
      <sheetName val="Tong hop (Lam...)"/>
      <sheetName val="TH (STC 30 tỷ)"/>
      <sheetName val="TH (STC)"/>
      <sheetName val="TH"/>
      <sheetName val="TH (họp)"/>
      <sheetName val="Vốn tỉnh"/>
      <sheetName val="Bieu 02"/>
      <sheetName val="Bieu dieu chinh"/>
      <sheetName val="Sheet1"/>
      <sheetName val="Vốn NTM 2021,2025"/>
      <sheetName val="Tong hop"/>
      <sheetName val="Tong hop (2)"/>
      <sheetName val="SGD 12,9"/>
      <sheetName val="Sheet4"/>
      <sheetName val="Giải trì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Sheet1"/>
      <sheetName val="T3-99"/>
      <sheetName val="T4-99"/>
      <sheetName val="T5-99"/>
      <sheetName val="T6-99"/>
      <sheetName val="T7-99"/>
      <sheetName val="T8-99"/>
      <sheetName val="T9-99"/>
      <sheetName val="T10-99"/>
      <sheetName val="T11-99"/>
      <sheetName val="T12-99"/>
      <sheetName val="5 nam (tach)"/>
      <sheetName val="5 nam (tach) (2)"/>
      <sheetName val="KH 2003"/>
      <sheetName val="Sheet2"/>
      <sheetName val="Sheet3"/>
      <sheetName val="00000000"/>
      <sheetName val="10000000"/>
      <sheetName val="20000000"/>
      <sheetName val="dap dat bo phai"/>
      <sheetName val="dap btrai 3-4"/>
      <sheetName val="dap bo trai tang 1-2"/>
      <sheetName val="thep cs+dtc"/>
      <sheetName val="ha luu"/>
      <sheetName val="mai kenh(bo xung)"/>
      <sheetName val="dtran 1-2"/>
      <sheetName val="be tieu nang"/>
      <sheetName val="san sau"/>
      <sheetName val="dam chan de thuoc dap tran"/>
      <sheetName val="dtran3,7"/>
      <sheetName val="KI£M K£"/>
      <sheetName val="dt 8-12"/>
      <sheetName val="M KENH(dk)"/>
      <sheetName val="t chan"/>
      <sheetName val="cp cong va thep bp tang2-7"/>
      <sheetName val="thep cxdtran"/>
      <sheetName val="dtran13-15"/>
      <sheetName val="mtran tang 8-12"/>
      <sheetName val="cgt-bai sua chua"/>
      <sheetName val="CGT nm+dbp"/>
      <sheetName val="DC GIAO THONG DC4-DC8 "/>
      <sheetName val="CGT DTRAN DC1-3 "/>
      <sheetName val="dbtrai tang v-xi "/>
      <sheetName val="dbo trai tang12-15"/>
      <sheetName val="DT KENH DAN RA TC-GCMK"/>
      <sheetName val="TK642"/>
      <sheetName val="Giao"/>
      <sheetName val="CHIET TINH"/>
      <sheetName val="Bang gia Ca May"/>
      <sheetName val="Bang Gia VL"/>
      <sheetName val="Tong Hop KP"/>
      <sheetName val=" DON GIA"/>
      <sheetName val="CHIET TINH THEO KH.SAT"/>
      <sheetName val="BTH Phieu thu"/>
      <sheetName val="BTH Phieu chi"/>
      <sheetName val="NK-SC"/>
      <sheetName val="SCT NVL"/>
      <sheetName val="NK SO CAI"/>
      <sheetName val="SCT TK 331"/>
      <sheetName val="So CFSXKD"/>
      <sheetName val="SCT  TK 131"/>
      <sheetName val="So TGNH 2003"/>
      <sheetName val="So quy TM 2002"/>
      <sheetName val="The tinh Z"/>
      <sheetName val="So kho nguyen vat lieu"/>
      <sheetName val="BTH NVL"/>
      <sheetName val="So theo doi thue GTGT"/>
      <sheetName val="BC thanh QT hoa don nam 2003"/>
      <sheetName val="TL10PH"/>
      <sheetName val="bth "/>
      <sheetName val="Khoan"/>
      <sheetName val="cvc"/>
      <sheetName val="bcl "/>
      <sheetName val="Chart1"/>
      <sheetName val="Hon cut"/>
      <sheetName val="Hon Soi"/>
      <sheetName val="XL4Test5"/>
      <sheetName val="HACHTOAN VAT DAU VAO CUA DOI"/>
      <sheetName val="DOICHIEU VAT DAU VAO"/>
      <sheetName val="LAITIENVAY"/>
      <sheetName val="LAITIENGOI"/>
      <sheetName val="SODU 3118"/>
      <sheetName val="SODU 3111"/>
      <sheetName val="SODU 141"/>
      <sheetName val="SODU3312 BUTRU"/>
      <sheetName val="SODU3312 VAT"/>
      <sheetName val="SODU 3312"/>
      <sheetName val="SODU 3311"/>
      <sheetName val="SODU 131"/>
      <sheetName val="KKQUY"/>
      <sheetName val="CONGCU DUNGCU VP"/>
      <sheetName val="DOANHTHU"/>
      <sheetName val="CANDOIKETOAN"/>
      <sheetName val="CANDOI"/>
      <sheetName val="CANDOI (2)"/>
      <sheetName val="CANDOI(3)"/>
      <sheetName val="MTL__INTER"/>
      <sheetName val="nk1"/>
      <sheetName val="bk1"/>
      <sheetName val="1380"/>
      <sheetName val="1381"/>
      <sheetName val="1382"/>
      <sheetName val="1383"/>
      <sheetName val="1384"/>
      <sheetName val="1385"/>
      <sheetName val="1387"/>
      <sheetName val="138"/>
      <sheetName val="141"/>
      <sheetName val="311-1"/>
      <sheetName val="3112"/>
      <sheetName val="3113"/>
      <sheetName val="3881-dl"/>
      <sheetName val="3882"/>
      <sheetName val="3881"/>
      <sheetName val="131-2"/>
      <sheetName val="1386"/>
      <sheetName val="131-1"/>
      <sheetName val="3882-l"/>
      <sheetName val="BIABAO"/>
      <sheetName val="PHAN TICH VAT TU NGANG"/>
      <sheetName val="BANG DU TOAN DRC"/>
      <sheetName val="DIEN GIAI TIEN LUONG"/>
      <sheetName val="TONGKET"/>
      <sheetName val="TMINH"/>
      <sheetName val="CHIET TINH DON GIA"/>
      <sheetName val="KHOILUONG"/>
      <sheetName val="THIETBI"/>
      <sheetName val="PHAN TICH VAT TU THEO NHOM"/>
      <sheetName val="TONG HOP NHAN CONG"/>
      <sheetName val="TONG HOP CA MAY"/>
      <sheetName val="DON GIA TONG HOP"/>
      <sheetName val="DIEN GIAI CPSX"/>
      <sheetName val="BANG GIA DU TOAN THUY LOI"/>
      <sheetName val="DON GIA TONG HOP THUY LOI"/>
      <sheetName val="BANG GIA DAU THAU"/>
      <sheetName val="DIEN GIAI TIEN LUONG DRC"/>
      <sheetName val="BANG GIA DEN CHAN CT"/>
      <sheetName val="BANG BU VAN CHUYEN"/>
      <sheetName val="CHI PHI CA MAY"/>
      <sheetName val="CHI PHI NHAN CONG"/>
      <sheetName val="PHAN TICH DGCT"/>
      <sheetName val="PHAN TICH DGCT TP"/>
      <sheetName val="BKNHAP"/>
      <sheetName val="BKX"/>
      <sheetName val="MSVT"/>
      <sheetName val="MSSP"/>
      <sheetName val="§V"/>
      <sheetName val="N-X -T"/>
      <sheetName val="kinhphi"/>
      <sheetName val="CPXL-DIEN"/>
      <sheetName val="THCPXAYLAP-XL"/>
      <sheetName val="chikhac"/>
      <sheetName val="CHENH LECH-XL"/>
      <sheetName val="KHOI LUONG-XL"/>
      <sheetName val="VLNCM-DIEN"/>
      <sheetName val="VLNCM-XL"/>
      <sheetName val="XXXXXXXX"/>
      <sheetName val="XXXXXXX0"/>
      <sheetName val="XXXXXXX1"/>
      <sheetName val="MV06"/>
      <sheetName val="BR06"/>
      <sheetName val="TH06"/>
      <sheetName val="Sheet4"/>
      <sheetName val="00000001"/>
      <sheetName val="00000002"/>
      <sheetName val="00000003"/>
      <sheetName val="00000004"/>
      <sheetName val="143"/>
      <sheetName val="161"/>
      <sheetName val="162"/>
      <sheetName val="163"/>
      <sheetName val="164"/>
      <sheetName val="171"/>
      <sheetName val="172"/>
      <sheetName val="310"/>
      <sheetName val="320"/>
      <sheetName val="330"/>
      <sheetName val="360"/>
      <sheetName val="410"/>
      <sheetName val="420"/>
      <sheetName val="500"/>
      <sheetName val="GIAO TBI"/>
      <sheetName val="Tonghop"/>
      <sheetName val="Vinhi-Cbi"/>
      <sheetName val="Binh-R6"/>
      <sheetName val="Binh-CBi"/>
      <sheetName val="Thu-R6"/>
      <sheetName val="To4-Thang"/>
      <sheetName val="CB,DCTN"/>
      <sheetName val="CBCNV"/>
      <sheetName val="LamThemCBCNV "/>
      <sheetName val="UL"/>
      <sheetName val="PROFILE"/>
      <sheetName val="Gia VL"/>
      <sheetName val="Bang luong CB"/>
      <sheetName val="Bang P.tich CT"/>
      <sheetName val="D.toan chi tiet"/>
      <sheetName val="Bang TH Dtoan"/>
      <sheetName val="NC10"/>
      <sheetName val="VL10"/>
      <sheetName val="CFmay10"/>
      <sheetName val="627(10)"/>
      <sheetName val="Cong cu dung cu"/>
      <sheetName val="Kiem ke Quy"/>
      <sheetName val="Kiem ke TSCD"/>
      <sheetName val="vat tu"/>
      <sheetName val="Cong trinh do dang 2002"/>
      <sheetName val="Sheet6"/>
      <sheetName val="Sheet7"/>
      <sheetName val="Sheet8"/>
      <sheetName val="Sheet9"/>
      <sheetName val="Sheet10"/>
      <sheetName val="Sheet5"/>
      <sheetName val="CN"/>
      <sheetName val="Capphoivua"/>
      <sheetName val="cau"/>
      <sheetName val="cong"/>
      <sheetName val="nhua"/>
      <sheetName val="chitiet"/>
      <sheetName val="DuThauSuaLoi"/>
      <sheetName val="TongHopSuaLoi"/>
      <sheetName val="GT"/>
      <sheetName val="TH"/>
      <sheetName val="tienluong"/>
      <sheetName val="T1"/>
      <sheetName val="KL DUONG DC L = 90m"/>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T.hop -T1"/>
      <sheetName val="T.Hop-T2"/>
      <sheetName val="T.Hop-T3"/>
      <sheetName val="SD1"/>
      <sheetName val="SD2"/>
      <sheetName val="SD7"/>
      <sheetName val="SD8"/>
      <sheetName val="SD9"/>
      <sheetName val="SD11"/>
      <sheetName val="SD12"/>
      <sheetName val="TVSD"/>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ong hop"/>
      <sheetName val="phan tich DG"/>
      <sheetName val="gia vat lieu"/>
      <sheetName val="gia xe may"/>
      <sheetName val="gia nhan cong"/>
      <sheetName val="TH theo tinh"/>
      <sheetName val="TH theo hang muc"/>
      <sheetName val="Quang Tri"/>
      <sheetName val="TTHue"/>
      <sheetName val="Da Nang"/>
      <sheetName val="Quang Nam"/>
      <sheetName val="Quang Ngai"/>
      <sheetName val="TH DH-QN"/>
      <sheetName val="KP HD"/>
      <sheetName val="DB HD"/>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KM"/>
      <sheetName val="KHOANMUC"/>
      <sheetName val="QTNC"/>
      <sheetName val="CPQL"/>
      <sheetName val="SANLUONG"/>
      <sheetName val="SSCP-SL"/>
      <sheetName val="CPSX"/>
      <sheetName val="KQKD"/>
      <sheetName val="CDSL (2)"/>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T9-2004"/>
      <sheetName val="T9-MD1"/>
      <sheetName val="T10-2004"/>
      <sheetName val="T10-MD1"/>
      <sheetName val="T11-2004"/>
      <sheetName val="T11-MD1"/>
      <sheetName val="T12-2004"/>
      <sheetName val="T12-MD1"/>
      <sheetName val=""/>
      <sheetName val="20% BHXH"/>
      <sheetName val="TrÝch 2%KPC§"/>
      <sheetName val="TrÝch 3% BHYT"/>
      <sheetName val="SD cac TK"/>
      <sheetName val="TK336"/>
      <sheetName val="chi tiet 131"/>
      <sheetName val="Ke chi"/>
      <sheetName val="PC"/>
      <sheetName val="Ph-Thu"/>
      <sheetName val="Ph-Thu (2)"/>
      <sheetName val="PC (2)"/>
      <sheetName val="Chart2"/>
      <sheetName val="PC (3)"/>
      <sheetName val="DTCT"/>
      <sheetName val="PTVT"/>
      <sheetName val="THDT"/>
      <sheetName val="THVT"/>
      <sheetName val="THGT"/>
      <sheetName val="TH du toan "/>
      <sheetName val="Du toan "/>
      <sheetName val="C.Tinh"/>
      <sheetName val="TK_cap"/>
      <sheetName val="KTQT-AFC"/>
      <sheetName val="KTQT-KH"/>
      <sheetName val="CLDG"/>
      <sheetName val="CLKL"/>
      <sheetName val="Bang du toan"/>
      <sheetName val="Bu gia"/>
      <sheetName val="PT vat tu"/>
      <sheetName val="km345+400-km345+500 (6'-"/>
      <sheetName val="Bang ke chi tiet "/>
      <sheetName val="ptvl0-1"/>
      <sheetName val="0-1"/>
      <sheetName val="ptvl4-5"/>
      <sheetName val="4-5"/>
      <sheetName val="ptvl3-4"/>
      <sheetName val="3-4"/>
      <sheetName val="ptvl2-3"/>
      <sheetName val="2-3"/>
      <sheetName val="vlcong"/>
      <sheetName val="ptvl1-2"/>
      <sheetName val="1-2"/>
      <sheetName val="TongHopSuaLoé"/>
      <sheetName val="TK 911"/>
      <sheetName val="TK 711"/>
      <sheetName val="TK 63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Bang TH Dtman"/>
      <sheetName val="DT"/>
      <sheetName val="CP"/>
      <sheetName val="BCT6"/>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refreshError="1"/>
      <sheetData sheetId="438"/>
      <sheetData sheetId="439"/>
      <sheetData sheetId="440"/>
      <sheetData sheetId="441"/>
      <sheetData sheetId="442"/>
      <sheetData sheetId="443"/>
      <sheetData sheetId="444"/>
      <sheetData sheetId="445"/>
      <sheetData sheetId="446"/>
      <sheetData sheetId="447"/>
      <sheetData sheetId="448"/>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STK dz 22"/>
      <sheetName val="KSTK0,4 6 TBA"/>
      <sheetName val="KSTK0,4 3 TBA"/>
      <sheetName val="th CT"/>
      <sheetName val="TH XL"/>
      <sheetName val="th TB"/>
      <sheetName val="TGT TBA"/>
      <sheetName val="TGT 22"/>
      <sheetName val="TH CPK"/>
      <sheetName val="CPK22"/>
      <sheetName val="CPK TBA"/>
      <sheetName val="CPK 0,4"/>
      <sheetName val="CPK 0,4 6 TBA"/>
      <sheetName val="CPK 0,4 3 TBA"/>
      <sheetName val="TGT 0,4 6 TBA"/>
      <sheetName val="TGT 0,4 3 TBA"/>
      <sheetName val="vt ds 22"/>
      <sheetName val="THI NGHIEM 22"/>
      <sheetName val="PHAN DS 22 KV"/>
      <sheetName val="SL CAN THIET"/>
      <sheetName val="vc vat tu CHUNG"/>
      <sheetName val="trungchuyen DZ"/>
      <sheetName val="Don gia trung chuyen DZ 22"/>
      <sheetName val="Tong hop DZ 22"/>
      <sheetName val="T T CL VC DZ 22"/>
      <sheetName val="DGCLVC 67"/>
      <sheetName val="DG vat tu"/>
      <sheetName val="TT CL VC DZ 0.4"/>
      <sheetName val="khobai"/>
      <sheetName val="cpdb"/>
      <sheetName val="LP cap dat"/>
      <sheetName val="tobia22KV"/>
      <sheetName val="GT 1m3 BT"/>
      <sheetName val="chi tiet dz 22 kv"/>
      <sheetName val="VCDD DZ 22"/>
      <sheetName val="DG VC VT 36"/>
      <sheetName val="Bia0,4 6 TBA"/>
      <sheetName val="PDS0,4 6 TBA"/>
      <sheetName val="VCDD0,4 6 TBA"/>
      <sheetName val="VTDS0,4 6 TBA"/>
      <sheetName val="TH0,4 6 TBA"/>
      <sheetName val="TN0,4 6 TBA"/>
      <sheetName val="PDS0,4 3 TBA"/>
      <sheetName val="VTDS0,4 3 TBA"/>
      <sheetName val="TH0,4 3 TBA"/>
      <sheetName val="CHITIET 0.4 KV"/>
      <sheetName val="DM 67"/>
      <sheetName val="VCDD0,4 3 TBA"/>
      <sheetName val="Bia0,4 3 TBA"/>
      <sheetName val="TN0,4 3 TBA"/>
      <sheetName val="chi tiet TBA"/>
      <sheetName val="DM 85"/>
      <sheetName val="VC dd TBA "/>
      <sheetName val="TB TBA"/>
      <sheetName val="Phan dien TBA "/>
      <sheetName val="DM 66"/>
      <sheetName val="TH TBA"/>
      <sheetName val="Bia TBA "/>
      <sheetName val="tkct"/>
      <sheetName val="CLVCTC DZ 0.4"/>
      <sheetName val="KHOI LUONG XA"/>
      <sheetName val="chitietdatdao"/>
      <sheetName val="TON DZ 0.4 KV"/>
      <sheetName val="TONG KE DZ 22 KV"/>
      <sheetName val="THVT0,4 6 TBA"/>
      <sheetName val="tieuhaoVT DZ 22"/>
      <sheetName val="THVT0,4 3 TBA"/>
      <sheetName val="DGCLVC3285"/>
      <sheetName val="th"/>
      <sheetName val="phu luc"/>
      <sheetName val="vc dd tba"/>
      <sheetName val="250 KVA"/>
      <sheetName val="chi tiet C"/>
      <sheetName val="tong HOP TBA"/>
      <sheetName val="TGT"/>
      <sheetName val="PL II"/>
      <sheetName val="KS-TK"/>
      <sheetName val="th CS"/>
      <sheetName val="vt CS"/>
      <sheetName val="VC CS"/>
      <sheetName val="bia cs"/>
      <sheetName val="vc vat tu CHUNG "/>
      <sheetName val="Btchlech DZ 22"/>
      <sheetName val="trungchuyen DZ 22 "/>
      <sheetName val="PDS0,4"/>
      <sheetName val="VTDS0,4"/>
      <sheetName val="TH0,4"/>
      <sheetName val="CHITIET C"/>
      <sheetName val="DG 89"/>
      <sheetName val="VCDD0,4"/>
      <sheetName val="CHLECH0,4"/>
      <sheetName val="Bia0,4"/>
      <sheetName val="TN0,4"/>
      <sheetName val="THVT0,4 T1"/>
      <sheetName val="THPDMoi  (2)"/>
      <sheetName val="ÖCDD DZ 22"/>
      <sheetName val="TONG KE DZ 0.4 KV"/>
      <sheetName val="THTram"/>
      <sheetName val="DUPA C"/>
      <sheetName val="GTTBA"/>
      <sheetName val="KSTK0,4Ġ3 TBA"/>
      <sheetName val="THUECD"/>
      <sheetName val="Sheet2"/>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Hoa Ninh"/>
      <sheetName val="th nt VND"/>
      <sheetName val="VT DS 0,4-Hoa Ninh"/>
      <sheetName val="PHAN DS0,4-Hoa Ninh"/>
      <sheetName val=" tong h 0.4 -Hoa Ninh"/>
      <sheetName val="VC dd 0,4 - Hoa Ninh"/>
      <sheetName val="Ch lech 0.4 - Hoa Ninh"/>
      <sheetName val="to bia 0.4 KV-Hoa Ninh"/>
      <sheetName val="THI NG 0.4 KV - Hoa Ninh"/>
      <sheetName val="tong hop TBA-Hoa Ninh"/>
      <sheetName val="Phan dien TBA - Hoa Ninh"/>
      <sheetName val="bia TBA-Hoa Ninh"/>
      <sheetName val="vc dd tba Hoa Ninh"/>
      <sheetName val="TONG DZ 0.4 KV"/>
      <sheetName val="TIEUHAOVT0.4KV"/>
      <sheetName val="Input"/>
      <sheetName val="SL dau tien"/>
      <sheetName val="VL XD"/>
      <sheetName val="Trung chuyen"/>
      <sheetName val="Gvlcht"/>
      <sheetName val="Chech lech Ma Kem"/>
      <sheetName val="Chi tiet ma"/>
      <sheetName val="TH VT22"/>
      <sheetName val="CVTC-22"/>
      <sheetName val="VT 22"/>
      <sheetName val="Chenh lech 22"/>
      <sheetName val="SLVC 22"/>
      <sheetName val="VCDD 22"/>
      <sheetName val="TH 22"/>
      <sheetName val="chi tiet22 kV"/>
      <sheetName val="LK-22"/>
      <sheetName val="KL datdaolap "/>
      <sheetName val="chitiet 22MK"/>
      <sheetName val="Bia VL_22"/>
      <sheetName val="BIA TB_22"/>
      <sheetName val="TH - TD"/>
      <sheetName val="VT-TH"/>
      <sheetName val="Nghiemthu"/>
      <sheetName val="DLNS"/>
      <sheetName val="CPTV"/>
      <sheetName val="TKP"/>
      <sheetName val="TH-CT"/>
      <sheetName val="LK TD"/>
      <sheetName val="BIA TB-dodem"/>
      <sheetName val="BIA TB-TBA"/>
      <sheetName val="Bia VL_TBA"/>
      <sheetName val="Chi tiet TBA MK "/>
      <sheetName val="Chenh Lech TBA"/>
      <sheetName val="VCDD TBA"/>
      <sheetName val="SLVC TBA"/>
      <sheetName val="LK-100"/>
      <sheetName val="LK-250"/>
      <sheetName val="LK-320CT"/>
      <sheetName val="LK-320XDM"/>
      <sheetName val="LK-TD"/>
      <sheetName val="Bia TD"/>
      <sheetName val="TH TD"/>
      <sheetName val="THVT TBA"/>
      <sheetName val="00000000"/>
      <sheetName val="LK-160"/>
      <sheetName val="DG 1341"/>
      <sheetName val="Chi tiet TD"/>
      <sheetName val="Bia LHK"/>
      <sheetName val="Thepma"/>
      <sheetName val="TN VH"/>
      <sheetName val="Bia TBA VH"/>
      <sheetName val="VC TBA"/>
      <sheetName val="Chi tiet XD"/>
      <sheetName val="Chlech -22"/>
      <sheetName val="LK-KL"/>
      <sheetName val="Sheet1"/>
      <sheetName val="XXXXXXXX"/>
      <sheetName val="KSTK0,4 "/>
      <sheetName val="pk VON"/>
      <sheetName val="TGT 0,4"/>
      <sheetName val="TH0,4 "/>
      <sheetName val="TU D"/>
      <sheetName val="#REF"/>
      <sheetName val="2p.Ô_x0002_3_x0000_"/>
      <sheetName val=""/>
      <sheetName val="2í_x0002_3_x0000_"/>
      <sheetName val="2 -Ä_x0002_3_x0000_"/>
      <sheetName val="KSTK0,4 ೼_xfffe_TBA"/>
      <sheetName val="Tong hop DZ &quo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Z thanh"/>
      <sheetName val="th gia trÞ"/>
      <sheetName val="co soquyettoan"/>
      <sheetName val="TT-35KV+TBA"/>
      <sheetName val="35KV"/>
      <sheetName val="TBA-QT"/>
      <sheetName val="TH 35KV-QT"/>
      <sheetName val="TH TBA-QT"/>
      <sheetName val="tonghopkinhphi35Kv"/>
      <sheetName val="th nc m"/>
      <sheetName val=" duong day 35KV yen lam"/>
      <sheetName val="TH Ptram"/>
      <sheetName val="thietbi"/>
      <sheetName val="ctietphantram"/>
      <sheetName val="khao sat thiet ke"/>
      <sheetName val="vc ® dai"/>
      <sheetName val="trong luong xi cat ®a"/>
      <sheetName val="C­íc 36"/>
      <sheetName val="trongluong xa"/>
      <sheetName val="trongluongcot thinghiem"/>
      <sheetName val="KhoBa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ctinh"/>
      <sheetName val="TT-35KV+TBA"/>
      <sheetName val="phan giam tien"/>
      <sheetName val="TH chi phi`dz+chi phi cong to"/>
      <sheetName val="TT35"/>
      <sheetName val="Gia vat tu"/>
      <sheetName val="XL4Poppy"/>
      <sheetName val="CHITIET VL-NC-TT-3p"/>
      <sheetName val="Quantity"/>
      <sheetName val="gtrinh"/>
      <sheetName val="Dù to¸n Ng¹n son"/>
      <sheetName val="ctBT"/>
      <sheetName val="chiet0tinh"/>
      <sheetName val="Ctinh 10kV"/>
      <sheetName val="gVL"/>
      <sheetName val="Sheet2"/>
      <sheetName val="Sheet3"/>
      <sheetName val="Pgal2004"/>
      <sheetName val="VL"/>
      <sheetName val="MTC"/>
      <sheetName val="tong_hop_chi_phi"/>
      <sheetName val="TH_chi_phi_dz+chi_phi_cong_to"/>
      <sheetName val="chiet_tinh"/>
      <sheetName val="phan_giao_tien"/>
      <sheetName val="phan_giao_v_tu"/>
      <sheetName val="phan_giam_tien"/>
      <sheetName val="MAILEGUH"/>
      <sheetName val="Giai trinh"/>
      <sheetName val="Gia VL"/>
      <sheetName val="DgiaCT"/>
      <sheetName val="Bill2000"/>
      <sheetName val="Bill30200"/>
      <sheetName val="PLV"/>
      <sheetName val="bluong"/>
      <sheetName val="TH chi phi dz+chi phi aong to"/>
      <sheetName val="CT -THVLNC"/>
      <sheetName val="터파기및재료"/>
      <sheetName val="KPVC-BD "/>
      <sheetName val="Xuly Data"/>
      <sheetName val="phan giao v vu"/>
      <sheetName val="_x0000__x0000__x0000__x0000__x0000__x0000__x0000__x0000_"/>
      <sheetName val="KKKKKKKK"/>
      <sheetName val="Dinh Muc VT"/>
      <sheetName val="2.CTDGCV-HO"/>
      <sheetName val="TT_35KV_TBA"/>
      <sheetName val="Tong hop vat tu"/>
      <sheetName val="Phan tich ca may"/>
      <sheetName val="Config"/>
      <sheetName val="Chi phi van chuyen"/>
      <sheetName val="Chenh lech ca may"/>
      <sheetName val="TLg CN&amp;Laixe"/>
      <sheetName val="TLg CN&amp;Laixe (2)"/>
      <sheetName val="TLg Laitau"/>
      <sheetName val="TLg Laitau (2)"/>
      <sheetName val="THPDMoi  (2)"/>
      <sheetName val="CD2000"/>
      <sheetName val="Thongso"/>
      <sheetName val="CTTDD"/>
      <sheetName val="M-GTKH"/>
      <sheetName val="VL-GTKH"/>
      <sheetName val="SILICATE"/>
      <sheetName val="??????"/>
      <sheetName val="????????"/>
      <sheetName val="Nhan cong"/>
      <sheetName val="Thiet bi"/>
      <sheetName val="Vat tu"/>
      <sheetName val="DM.ChiPhi"/>
      <sheetName val="May TC"/>
      <sheetName val="Phan tich"/>
      <sheetName val="Bang KL"/>
      <sheetName val="TH Kinh phi"/>
      <sheetName val="Tien luong"/>
      <sheetName val="DH_chi_phi_dz+chi_phi_cong_to"/>
      <sheetName val="VT nha"/>
      <sheetName val="CT nha"/>
      <sheetName val="DT nha"/>
      <sheetName val="THKP957"/>
      <sheetName val="Tính giá NC"/>
      <sheetName val="Đầu vào"/>
      <sheetName val="Tiên lượng"/>
      <sheetName val="SL cước"/>
      <sheetName val="______"/>
      <sheetName val="________"/>
      <sheetName val="Ct- DZ35kV"/>
      <sheetName val="SL dau tien"/>
      <sheetName val="PHAN DS 22 KV"/>
      <sheetName val="chi tiet TBA"/>
      <sheetName val="MTL$-INTER"/>
      <sheetName val="TH XDM"/>
      <sheetName val="TH Thu hoi"/>
      <sheetName val="DLNS"/>
      <sheetName val="Camay"/>
      <sheetName val="ChitietDZ"/>
      <sheetName val="ChitietTBA"/>
      <sheetName val="DGIAVLXD"/>
      <sheetName val="DM4970TBA"/>
      <sheetName val="DM4970DZ"/>
      <sheetName val="DMTN"/>
      <sheetName val="VATTU"/>
      <sheetName val="TBA"/>
      <sheetName val="MUX-1"/>
      <sheetName val="#REF"/>
      <sheetName val="NG"/>
      <sheetName val="tong_hop_chi_phi1"/>
      <sheetName val="TH_chi_phi_dz+chi_phi_cong_to1"/>
      <sheetName val="chiet_tinh1"/>
      <sheetName val="phan_giao_tien1"/>
      <sheetName val="phan_giao_v_tu1"/>
      <sheetName val="phan_giam_tien1"/>
      <sheetName val="TH_chi_phi`dz+chi_phi_cong_to"/>
      <sheetName val="Gia_vat_tu"/>
      <sheetName val="Ctinh_10kV"/>
      <sheetName val="Dù_to¸n_Ng¹n_son"/>
      <sheetName val="CHITIET_VL-NC-TT-3p"/>
      <sheetName val="Xuly_Data"/>
      <sheetName val="Giai_trinh"/>
      <sheetName val="CT_-THVLNC"/>
      <sheetName val="Gia_VL"/>
      <sheetName val="TH_chi_phi_dz+chi_phi_aong_to"/>
      <sheetName val="KPVC-BD_"/>
      <sheetName val="phan_giao_v_vu"/>
      <sheetName val="Ts"/>
      <sheetName val="Gia"/>
      <sheetName val="TDT"/>
      <sheetName val="Girder"/>
    </sheetNames>
    <sheetDataSet>
      <sheetData sheetId="0"/>
      <sheetData sheetId="1"/>
      <sheetData sheetId="2"/>
      <sheetData sheetId="3" refreshError="1">
        <row r="6">
          <cell r="B6" t="str">
            <v>Xi m¨ng PC 300</v>
          </cell>
          <cell r="C6" t="str">
            <v>kg</v>
          </cell>
          <cell r="D6">
            <v>155.5</v>
          </cell>
          <cell r="F6">
            <v>884</v>
          </cell>
        </row>
        <row r="7">
          <cell r="B7" t="str">
            <v>C¸t vµng</v>
          </cell>
          <cell r="C7" t="str">
            <v>m3</v>
          </cell>
          <cell r="D7">
            <v>0.435</v>
          </cell>
          <cell r="F7">
            <v>95000</v>
          </cell>
        </row>
        <row r="8">
          <cell r="B8" t="str">
            <v>§¸ d¨m 4 x 6</v>
          </cell>
          <cell r="C8" t="str">
            <v>m3</v>
          </cell>
          <cell r="D8">
            <v>0.747</v>
          </cell>
          <cell r="F8">
            <v>86222</v>
          </cell>
        </row>
        <row r="18">
          <cell r="B18" t="str">
            <v>Xi m¨ng PC 300</v>
          </cell>
          <cell r="C18" t="str">
            <v>kg</v>
          </cell>
          <cell r="D18">
            <v>254.5</v>
          </cell>
          <cell r="F18">
            <v>884</v>
          </cell>
        </row>
        <row r="19">
          <cell r="B19" t="str">
            <v>C¸t vµng</v>
          </cell>
          <cell r="C19" t="str">
            <v>m3</v>
          </cell>
          <cell r="D19">
            <v>0.45</v>
          </cell>
          <cell r="F19">
            <v>95000</v>
          </cell>
        </row>
        <row r="20">
          <cell r="B20" t="str">
            <v>§¸ d¨m 4 x 6</v>
          </cell>
          <cell r="C20" t="str">
            <v>m3</v>
          </cell>
          <cell r="D20">
            <v>0.88300000000000001</v>
          </cell>
          <cell r="F20">
            <v>99894</v>
          </cell>
        </row>
        <row r="21">
          <cell r="B21" t="str">
            <v>Gç cèp pha</v>
          </cell>
          <cell r="C21" t="str">
            <v>m3</v>
          </cell>
          <cell r="D21">
            <v>1.4999999999999999E-2</v>
          </cell>
          <cell r="F21">
            <v>1000000</v>
          </cell>
        </row>
        <row r="22">
          <cell r="B22" t="str">
            <v>§inh</v>
          </cell>
          <cell r="C22" t="str">
            <v>kg</v>
          </cell>
          <cell r="D22">
            <v>0.19</v>
          </cell>
          <cell r="F22">
            <v>7000</v>
          </cell>
        </row>
        <row r="23">
          <cell r="B23" t="str">
            <v>Tre chèng</v>
          </cell>
          <cell r="C23" t="str">
            <v>c©y</v>
          </cell>
          <cell r="D23">
            <v>0.63</v>
          </cell>
          <cell r="F23">
            <v>7500</v>
          </cell>
        </row>
        <row r="35">
          <cell r="B35" t="str">
            <v>Xi m¨ng PC 300( BØm s¬n)</v>
          </cell>
          <cell r="C35" t="str">
            <v>kg</v>
          </cell>
          <cell r="D35">
            <v>306</v>
          </cell>
          <cell r="F35">
            <v>884</v>
          </cell>
        </row>
        <row r="36">
          <cell r="B36" t="str">
            <v>C¸t vµng</v>
          </cell>
          <cell r="C36" t="str">
            <v>m3</v>
          </cell>
          <cell r="D36">
            <v>0.443</v>
          </cell>
          <cell r="F36">
            <v>95000</v>
          </cell>
        </row>
        <row r="37">
          <cell r="B37" t="str">
            <v>§¸ d¨m 4 x 2</v>
          </cell>
          <cell r="C37" t="str">
            <v>m3</v>
          </cell>
          <cell r="D37">
            <v>0.86899999999999999</v>
          </cell>
          <cell r="F37">
            <v>99894</v>
          </cell>
        </row>
        <row r="38">
          <cell r="B38" t="str">
            <v>Gç cèp pha</v>
          </cell>
          <cell r="C38" t="str">
            <v>m3</v>
          </cell>
          <cell r="D38">
            <v>0.01</v>
          </cell>
          <cell r="F38">
            <v>1000000</v>
          </cell>
        </row>
        <row r="39">
          <cell r="B39" t="str">
            <v>§inh</v>
          </cell>
          <cell r="C39" t="str">
            <v>kg</v>
          </cell>
          <cell r="D39">
            <v>0.95</v>
          </cell>
          <cell r="F39">
            <v>7000</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 val="DI_ESTI"/>
    </sheetNames>
    <sheetDataSet>
      <sheetData sheetId="0" refreshError="1"/>
      <sheetData sheetId="1" refreshError="1"/>
      <sheetData sheetId="2"/>
      <sheetData sheetId="3"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4"/>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MTO REV_0"/>
    </sheetNames>
    <sheetDataSet>
      <sheetData sheetId="0" refreshError="1"/>
      <sheetData sheetId="1" refreshError="1">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H"/>
      <sheetName val="TKP"/>
      <sheetName val="DLNS"/>
      <sheetName val="CPTV"/>
      <sheetName val="LP-BTC"/>
      <sheetName val="SLVC TBA"/>
      <sheetName val="VCDD_22"/>
      <sheetName val="SLVC-22"/>
      <sheetName val="chi tiet dz 22 kv"/>
      <sheetName val="TH dz 22"/>
      <sheetName val="VC VT_TB"/>
      <sheetName val="SLVC_0.4"/>
      <sheetName val="DG vat tu"/>
      <sheetName val="bia22KV"/>
      <sheetName val="TONG KE DZ 22 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Bia 0,4"/>
      <sheetName val="Ch lech -0,4"/>
      <sheetName val="CHITIET 0.4 KV"/>
      <sheetName val="Th 0,4"/>
      <sheetName val="chi tiet TBA"/>
      <sheetName val="DM 85"/>
      <sheetName val="Bia TBA"/>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 val="Th Thao do 0,4"/>
      <sheetName val="TH thao do 22"/>
      <sheetName val="TH-TBA THAO DO"/>
      <sheetName val="Bia Thao do 0,4"/>
      <sheetName val="Bia Thao do 22"/>
      <sheetName val="LK-CS"/>
      <sheetName val="Bia CS"/>
      <sheetName val="TN-CS"/>
      <sheetName val="VCDD CS"/>
      <sheetName val="Bia thao do TBA"/>
      <sheetName val="bang dien"/>
      <sheetName val="TD-CS"/>
      <sheetName val="Cl lech-cs"/>
      <sheetName val="vt CS"/>
      <sheetName val="SLVC CS"/>
      <sheetName val="Chi tiet - CS"/>
      <sheetName val="th CS"/>
      <sheetName val="TH VTCS"/>
      <sheetName val="TH-XL"/>
      <sheetName val="th-cpk"/>
      <sheetName val="VCDD 22"/>
      <sheetName val="vt A cap"/>
      <sheetName val="SLVC 0.4"/>
      <sheetName val="VCDD 0.4"/>
      <sheetName val="TDIEN-PHAn PHOI"/>
      <sheetName val="Bia 0.4"/>
      <sheetName val="TU BU"/>
      <sheetName val="TU DIEN"/>
      <sheetName val="TH 400"/>
      <sheetName val="Bia 400"/>
      <sheetName val="VC TBA"/>
      <sheetName val="SLVC 22"/>
      <sheetName val="Bia 31ۨ_x0000_"/>
      <sheetName val="PHAN DS 22 KV"/>
      <sheetName val="VC CS"/>
      <sheetName val="Bia 31?_x0000_"/>
      <sheetName val="Bia 31_"/>
      <sheetName val="DMQT"/>
      <sheetName val="DGXDCB_DD"/>
      <sheetName val="SL_dau_tien"/>
      <sheetName val="HSDC_GOC"/>
      <sheetName val="Th_Thao_do_0,4"/>
      <sheetName val="TH_thao_do_22"/>
      <sheetName val="TH-TBA_THAO_DO"/>
      <sheetName val="Bia_Thao_do_0,4"/>
      <sheetName val="Bia_Thao_do_22"/>
      <sheetName val="DM_85"/>
      <sheetName val="Bia_CS"/>
      <sheetName val="VCDD_CS"/>
      <sheetName val="DGVCTC_67"/>
      <sheetName val="Bia_thao_do_TBA"/>
      <sheetName val="bang_dien"/>
      <sheetName val="Cl_lech-cs"/>
      <sheetName val="vt_CS"/>
      <sheetName val="SLVC_CS"/>
      <sheetName val="Chi_tiet_-_CS"/>
      <sheetName val="th_CS"/>
      <sheetName val="TH_VTCS"/>
      <sheetName val="th_CT"/>
      <sheetName val="chiet_tinh"/>
      <sheetName val="DM_67"/>
      <sheetName val="VCDD_221"/>
      <sheetName val="Chlech_-22"/>
      <sheetName val="TNGHIEM_22"/>
      <sheetName val="chi_tiet_dz_22_kv"/>
      <sheetName val="vt_A_cap"/>
      <sheetName val="vc_vat_tu_CHUNG_"/>
      <sheetName val="PQ_tuyen"/>
      <sheetName val="Trung_chuyen"/>
      <sheetName val="T_T_CL_VC_DZ_22"/>
      <sheetName val="TH_dz_22"/>
      <sheetName val="TNGHIEM_0,4"/>
      <sheetName val="DG_89"/>
      <sheetName val="SLVC_0_4"/>
      <sheetName val="VCDD_0_4"/>
      <sheetName val="Ch_lech_-0,4"/>
      <sheetName val="TDIEN-PHAn_PHOI"/>
      <sheetName val="CHITIET_0_4_KV"/>
      <sheetName val="VT_ds_0,4"/>
      <sheetName val="Th_0,4"/>
      <sheetName val="Bia_0_4"/>
      <sheetName val="TU_BU"/>
      <sheetName val="TU_DIEN"/>
      <sheetName val="chi_tiet_TBA"/>
      <sheetName val="VT_TB_TBA"/>
      <sheetName val="TH_400"/>
      <sheetName val="Bia_400"/>
      <sheetName val="DM_66"/>
      <sheetName val="SLVC_TBA"/>
      <sheetName val="VC_TBA"/>
      <sheetName val="kl_tt"/>
      <sheetName val="TONG_KE_DZ_22_KV"/>
      <sheetName val="SLVC_22"/>
      <sheetName val="TH_VT0,4"/>
      <sheetName val="TH_VT22"/>
      <sheetName val="TONG_DZ_0_4_KV"/>
      <sheetName val="DG_vat_tu"/>
      <sheetName val="TH_thao_do_35"/>
      <sheetName val="bia_35_thao_do"/>
      <sheetName val="Bia_15"/>
      <sheetName val="Bia_25"/>
      <sheetName val="Bia__160"/>
      <sheetName val="TH_160"/>
      <sheetName val="TH_15"/>
      <sheetName val="TH_25"/>
      <sheetName val="DLC_DIEN_AP"/>
      <sheetName val="HS_Dia_ban"/>
      <sheetName val="VC_VT_TB"/>
      <sheetName val="SLVC_0_41"/>
      <sheetName val="vt_22"/>
      <sheetName val="VCDD_0_41"/>
      <sheetName val="Kho_Tam"/>
      <sheetName val="Bia_0,4"/>
      <sheetName val="Bia_TBA"/>
      <sheetName val="TH_50"/>
      <sheetName val="Bia_50"/>
      <sheetName val="TH_75"/>
      <sheetName val="TH_31,5"/>
      <sheetName val="Bia_31,5"/>
      <sheetName val="Bia_75"/>
      <sheetName val="TH_100"/>
      <sheetName val="Bia__100"/>
      <sheetName val="Bia_31ۨ"/>
      <sheetName val="PHAN_DS_22_KV"/>
      <sheetName val="VC_CS"/>
      <sheetName val="Bia_31?"/>
      <sheetName val="Bia_31_"/>
      <sheetName val="SL_dau_tien1"/>
      <sheetName val="HSDC_GOC1"/>
      <sheetName val="Th_Thao_do_0,41"/>
      <sheetName val="TH_thao_do_221"/>
      <sheetName val="TH-TBA_THAO_DO1"/>
      <sheetName val="Bia_Thao_do_0,41"/>
      <sheetName val="Bia_Thao_do_221"/>
      <sheetName val="DM_851"/>
      <sheetName val="Bia_CS1"/>
      <sheetName val="VCDD_CS1"/>
      <sheetName val="DGVCTC_671"/>
      <sheetName val="Bia_thao_do_TBA1"/>
      <sheetName val="bang_dien1"/>
      <sheetName val="Cl_lech-cs1"/>
      <sheetName val="vt_CS1"/>
      <sheetName val="SLVC_CS1"/>
      <sheetName val="Chi_tiet_-_CS1"/>
      <sheetName val="th_CS1"/>
      <sheetName val="TH_VTCS1"/>
      <sheetName val="th_CT1"/>
      <sheetName val="chiet_tinh1"/>
      <sheetName val="DM_671"/>
      <sheetName val="VCDD_222"/>
      <sheetName val="Chlech_-221"/>
      <sheetName val="TNGHIEM_221"/>
      <sheetName val="chi_tiet_dz_22_kv1"/>
      <sheetName val="vt_A_cap1"/>
      <sheetName val="vc_vat_tu_CHUNG_1"/>
      <sheetName val="PQ_tuyen1"/>
      <sheetName val="Trung_chuyen1"/>
      <sheetName val="T_T_CL_VC_DZ_221"/>
      <sheetName val="TH_dz_221"/>
      <sheetName val="TNGHIEM_0,41"/>
      <sheetName val="DG_891"/>
      <sheetName val="SLVC_0_42"/>
      <sheetName val="VCDD_0_42"/>
      <sheetName val="Ch_lech_-0,41"/>
      <sheetName val="TDIEN-PHAn_PHOI1"/>
      <sheetName val="CHITIET_0_4_KV1"/>
      <sheetName val="VT_ds_0,41"/>
      <sheetName val="Th_0,41"/>
      <sheetName val="Bia_0_41"/>
      <sheetName val="TU_BU1"/>
      <sheetName val="TU_DIEN1"/>
      <sheetName val="chi_tiet_TBA1"/>
      <sheetName val="VT_TB_TBA1"/>
      <sheetName val="TH_4001"/>
      <sheetName val="Bia_4001"/>
      <sheetName val="DM_661"/>
      <sheetName val="SLVC_TBA1"/>
      <sheetName val="VC_TBA1"/>
      <sheetName val="kl_tt1"/>
      <sheetName val="TONG_KE_DZ_22_KV1"/>
      <sheetName val="SLVC_221"/>
      <sheetName val="TH_VT0,41"/>
      <sheetName val="TH_VT221"/>
      <sheetName val="TONG_DZ_0_4_KV1"/>
      <sheetName val="DG_vat_tu1"/>
      <sheetName val="TH_thao_do_351"/>
      <sheetName val="bia_35_thao_do1"/>
      <sheetName val="Bia_151"/>
      <sheetName val="Bia_251"/>
      <sheetName val="Bia__1601"/>
      <sheetName val="TH_1601"/>
      <sheetName val="TH_151"/>
      <sheetName val="TH_251"/>
      <sheetName val="DLC_DIEN_AP1"/>
      <sheetName val="HS_Dia_ban1"/>
      <sheetName val="VC_VT_TB1"/>
      <sheetName val="SLVC_0_43"/>
      <sheetName val="vt_221"/>
      <sheetName val="VCDD_0_43"/>
      <sheetName val="Kho_Tam1"/>
      <sheetName val="Bia_0,41"/>
      <sheetName val="Bia_TBA1"/>
      <sheetName val="TH_501"/>
      <sheetName val="Bia_501"/>
      <sheetName val="TH_751"/>
      <sheetName val="TH_31,51"/>
      <sheetName val="Bia_31,51"/>
      <sheetName val="Bia_751"/>
      <sheetName val="TH_1001"/>
      <sheetName val="Bia__1001"/>
      <sheetName val="PHAN_DS_22_KV1"/>
      <sheetName val="VC_CS1"/>
      <sheetName val="SL_dau_tien2"/>
      <sheetName val="HSDC_GOC2"/>
      <sheetName val="Th_Thao_do_0,42"/>
      <sheetName val="TH_thao_do_222"/>
      <sheetName val="TH-TBA_THAO_DO2"/>
      <sheetName val="Bia_Thao_do_0,42"/>
      <sheetName val="Bia_Thao_do_222"/>
      <sheetName val="DM_852"/>
      <sheetName val="Bia_CS2"/>
      <sheetName val="VCDD_CS2"/>
      <sheetName val="DGVCTC_672"/>
      <sheetName val="Bia_thao_do_TBA2"/>
      <sheetName val="bang_dien2"/>
      <sheetName val="Cl_lech-cs2"/>
      <sheetName val="vt_CS2"/>
      <sheetName val="SLVC_CS2"/>
      <sheetName val="Chi_tiet_-_CS2"/>
      <sheetName val="th_CS2"/>
      <sheetName val="TH_VTCS2"/>
      <sheetName val="th_CT2"/>
      <sheetName val="chiet_tinh2"/>
      <sheetName val="DM_672"/>
      <sheetName val="VCDD_223"/>
      <sheetName val="Chlech_-222"/>
      <sheetName val="TNGHIEM_222"/>
      <sheetName val="chi_tiet_dz_22_kv2"/>
      <sheetName val="vt_A_cap2"/>
      <sheetName val="vc_vat_tu_CHUNG_2"/>
      <sheetName val="PQ_tuyen2"/>
      <sheetName val="Trung_chuyen2"/>
      <sheetName val="T_T_CL_VC_DZ_222"/>
      <sheetName val="TH_dz_222"/>
      <sheetName val="TNGHIEM_0,42"/>
      <sheetName val="DG_892"/>
      <sheetName val="SLVC_0_44"/>
      <sheetName val="VCDD_0_44"/>
      <sheetName val="Ch_lech_-0,42"/>
      <sheetName val="TDIEN-PHAn_PHOI2"/>
      <sheetName val="CHITIET_0_4_KV2"/>
      <sheetName val="VT_ds_0,42"/>
      <sheetName val="Th_0,42"/>
      <sheetName val="Bia_0_42"/>
      <sheetName val="TU_BU2"/>
      <sheetName val="TU_DIEN2"/>
      <sheetName val="chi_tiet_TBA2"/>
      <sheetName val="VT_TB_TBA2"/>
      <sheetName val="TH_4002"/>
      <sheetName val="Bia_4002"/>
      <sheetName val="DM_662"/>
      <sheetName val="SLVC_TBA2"/>
      <sheetName val="VC_TBA2"/>
      <sheetName val="kl_tt2"/>
      <sheetName val="TONG_KE_DZ_22_KV2"/>
      <sheetName val="SLVC_222"/>
      <sheetName val="TH_VT0,42"/>
      <sheetName val="TH_VT222"/>
      <sheetName val="TONG_DZ_0_4_KV2"/>
      <sheetName val="DG_vat_tu2"/>
      <sheetName val="TH_thao_do_352"/>
      <sheetName val="bia_35_thao_do2"/>
      <sheetName val="Bia_152"/>
      <sheetName val="Bia_252"/>
      <sheetName val="Bia__1602"/>
      <sheetName val="TH_1602"/>
      <sheetName val="TH_152"/>
      <sheetName val="TH_252"/>
      <sheetName val="DLC_DIEN_AP2"/>
      <sheetName val="HS_Dia_ban2"/>
      <sheetName val="VC_VT_TB2"/>
      <sheetName val="SLVC_0_45"/>
      <sheetName val="vt_222"/>
      <sheetName val="VCDD_0_45"/>
      <sheetName val="Kho_Tam2"/>
      <sheetName val="Bia_0,42"/>
      <sheetName val="Bia_TBA2"/>
      <sheetName val="TH_502"/>
      <sheetName val="Bia_502"/>
      <sheetName val="TH_752"/>
      <sheetName val="TH_31,52"/>
      <sheetName val="Bia_31,52"/>
      <sheetName val="Bia_752"/>
      <sheetName val="TH_1002"/>
      <sheetName val="Bia__1002"/>
      <sheetName val="PHAN_DS_22_KV2"/>
      <sheetName val="VC_CS2"/>
      <sheetName val="SL_dau_tien3"/>
      <sheetName val="HSDC_GOC3"/>
      <sheetName val="Th_Thao_do_0,43"/>
      <sheetName val="TH_thao_do_223"/>
      <sheetName val="TH-TBA_THAO_DO3"/>
      <sheetName val="Bia_Thao_do_0,43"/>
      <sheetName val="Bia_Thao_do_223"/>
      <sheetName val="DM_853"/>
      <sheetName val="Bia_CS3"/>
      <sheetName val="VCDD_CS3"/>
      <sheetName val="DGVCTC_673"/>
      <sheetName val="Bia_thao_do_TBA3"/>
      <sheetName val="bang_dien3"/>
      <sheetName val="Cl_lech-cs3"/>
      <sheetName val="vt_CS3"/>
      <sheetName val="SLVC_CS3"/>
      <sheetName val="Chi_tiet_-_CS3"/>
      <sheetName val="th_CS3"/>
      <sheetName val="TH_VTCS3"/>
      <sheetName val="th_CT3"/>
      <sheetName val="chiet_tinh3"/>
      <sheetName val="DM_673"/>
      <sheetName val="VCDD_224"/>
      <sheetName val="Chlech_-223"/>
      <sheetName val="TNGHIEM_223"/>
      <sheetName val="chi_tiet_dz_22_kv3"/>
      <sheetName val="vt_A_cap3"/>
      <sheetName val="vc_vat_tu_CHUNG_3"/>
      <sheetName val="PQ_tuyen3"/>
      <sheetName val="Trung_chuyen3"/>
      <sheetName val="T_T_CL_VC_DZ_223"/>
      <sheetName val="TH_dz_223"/>
      <sheetName val="TNGHIEM_0,43"/>
      <sheetName val="DG_893"/>
      <sheetName val="SLVC_0_46"/>
      <sheetName val="VCDD_0_46"/>
      <sheetName val="Ch_lech_-0,43"/>
      <sheetName val="TDIEN-PHAn_PHOI3"/>
      <sheetName val="CHITIET_0_4_KV3"/>
      <sheetName val="VT_ds_0,43"/>
      <sheetName val="Th_0,43"/>
      <sheetName val="Bia_0_43"/>
      <sheetName val="TU_BU3"/>
      <sheetName val="TU_DIEN3"/>
      <sheetName val="chi_tiet_TBA3"/>
      <sheetName val="VT_TB_TBA3"/>
      <sheetName val="TH_4003"/>
      <sheetName val="Bia_4003"/>
      <sheetName val="DM_663"/>
      <sheetName val="SLVC_TBA3"/>
      <sheetName val="VC_TBA3"/>
      <sheetName val="kl_tt3"/>
      <sheetName val="TONG_KE_DZ_22_KV3"/>
      <sheetName val="SLVC_223"/>
      <sheetName val="TH_VT0,43"/>
      <sheetName val="TH_VT223"/>
      <sheetName val="TONG_DZ_0_4_KV3"/>
      <sheetName val="DG_vat_tu3"/>
      <sheetName val="TH_thao_do_353"/>
      <sheetName val="bia_35_thao_do3"/>
      <sheetName val="Bia_153"/>
      <sheetName val="Bia_253"/>
      <sheetName val="Bia__1603"/>
      <sheetName val="TH_1603"/>
      <sheetName val="TH_153"/>
      <sheetName val="TH_253"/>
      <sheetName val="DLC_DIEN_AP3"/>
      <sheetName val="HS_Dia_ban3"/>
      <sheetName val="VC_VT_TB3"/>
      <sheetName val="SLVC_0_47"/>
      <sheetName val="vt_223"/>
      <sheetName val="VCDD_0_47"/>
      <sheetName val="Kho_Tam3"/>
      <sheetName val="Bia_0,43"/>
      <sheetName val="Bia_TBA3"/>
      <sheetName val="TH_503"/>
      <sheetName val="Bia_503"/>
      <sheetName val="TH_753"/>
      <sheetName val="TH_31,53"/>
      <sheetName val="Bia_31,53"/>
      <sheetName val="Bia_753"/>
      <sheetName val="TH_1003"/>
      <sheetName val="Bia__1003"/>
      <sheetName val="PHAN_DS_22_KV3"/>
      <sheetName val="VC_CS3"/>
      <sheetName val="chiet tin_x0000_"/>
      <sheetName val="SL_dau_tien4"/>
      <sheetName val="HSDC_GOC4"/>
      <sheetName val="Th_Thao_do_0,44"/>
      <sheetName val="TH_thao_do_224"/>
      <sheetName val="TH-TBA_THAO_DO4"/>
      <sheetName val="Bia_Thao_do_0,44"/>
      <sheetName val="Bia_Thao_do_224"/>
      <sheetName val="DM_854"/>
      <sheetName val="Bia_CS4"/>
      <sheetName val="VCDD_CS4"/>
      <sheetName val="DGVCTC_674"/>
      <sheetName val="Bia_thao_do_TBA4"/>
      <sheetName val="bang_dien4"/>
      <sheetName val="Cl_lech-cs4"/>
      <sheetName val="vt_CS4"/>
      <sheetName val="SLVC_CS4"/>
      <sheetName val="Chi_tiet_-_CS4"/>
      <sheetName val="th_CS4"/>
      <sheetName val="TH_VTCS4"/>
      <sheetName val="th_CT4"/>
      <sheetName val="chiet_tinh4"/>
      <sheetName val="DM_674"/>
      <sheetName val="VCDD_225"/>
      <sheetName val="Chlech_-224"/>
      <sheetName val="TNGHIEM_224"/>
      <sheetName val="chi_tiet_dz_22_kv4"/>
      <sheetName val="vt_A_cap4"/>
      <sheetName val="vc_vat_tu_CHUNG_4"/>
      <sheetName val="PQ_tuyen4"/>
      <sheetName val="Trung_chuyen4"/>
      <sheetName val="T_T_CL_VC_DZ_224"/>
      <sheetName val="TH_dz_224"/>
      <sheetName val="TNGHIEM_0,44"/>
      <sheetName val="DG_894"/>
      <sheetName val="SLVC_0_48"/>
      <sheetName val="VCDD_0_48"/>
      <sheetName val="Ch_lech_-0,44"/>
      <sheetName val="TDIEN-PHAn_PHOI4"/>
      <sheetName val="CHITIET_0_4_KV4"/>
      <sheetName val="VT_ds_0,44"/>
      <sheetName val="Th_0,44"/>
      <sheetName val="Bia_0_44"/>
      <sheetName val="TU_BU4"/>
      <sheetName val="TU_DIEN4"/>
      <sheetName val="chi_tiet_TBA4"/>
      <sheetName val="VT_TB_TBA4"/>
      <sheetName val="TH_4004"/>
      <sheetName val="Bia_4004"/>
      <sheetName val="DM_664"/>
      <sheetName val="SLVC_TBA4"/>
      <sheetName val="VC_TBA4"/>
      <sheetName val="kl_tt4"/>
      <sheetName val="TONG_KE_DZ_22_KV4"/>
      <sheetName val="SLVC_224"/>
      <sheetName val="TH_VT0,44"/>
      <sheetName val="TH_VT224"/>
      <sheetName val="TONG_DZ_0_4_KV4"/>
      <sheetName val="DG_vat_tu4"/>
      <sheetName val="TH_thao_do_354"/>
      <sheetName val="bia_35_thao_do4"/>
      <sheetName val="Bia_154"/>
      <sheetName val="Bia_254"/>
      <sheetName val="Bia__1604"/>
      <sheetName val="TH_1604"/>
      <sheetName val="TH_154"/>
      <sheetName val="TH_254"/>
      <sheetName val="DLC_DIEN_AP4"/>
      <sheetName val="HS_Dia_ban4"/>
      <sheetName val="VC_VT_TB4"/>
      <sheetName val="SLVC_0_49"/>
      <sheetName val="vt_224"/>
      <sheetName val="VCDD_0_49"/>
      <sheetName val="Kho_Tam4"/>
      <sheetName val="Bia_0,44"/>
      <sheetName val="Bia_TBA4"/>
      <sheetName val="TH_504"/>
      <sheetName val="Bia_504"/>
      <sheetName val="TH_754"/>
      <sheetName val="TH_31,54"/>
      <sheetName val="Bia_31,54"/>
      <sheetName val="Bia_754"/>
      <sheetName val="TH_1004"/>
      <sheetName val="Bia__1004"/>
      <sheetName val="SL_dau_tien5"/>
      <sheetName val="HSDC_GOC5"/>
      <sheetName val="Th_Thao_do_0,45"/>
      <sheetName val="TH_thao_do_225"/>
      <sheetName val="TH-TBA_THAO_DO5"/>
      <sheetName val="Bia_Thao_do_0,45"/>
      <sheetName val="Bia_Thao_do_225"/>
      <sheetName val="DM_855"/>
      <sheetName val="Bia_CS5"/>
      <sheetName val="VCDD_CS5"/>
      <sheetName val="DGVCTC_675"/>
      <sheetName val="Bia_thao_do_TBA5"/>
      <sheetName val="bang_dien5"/>
      <sheetName val="Cl_lech-cs5"/>
      <sheetName val="vt_CS5"/>
      <sheetName val="SLVC_CS5"/>
      <sheetName val="Chi_tiet_-_CS5"/>
      <sheetName val="th_CS5"/>
      <sheetName val="TH_VTCS5"/>
      <sheetName val="th_CT5"/>
      <sheetName val="chiet_tinh5"/>
      <sheetName val="DM_675"/>
      <sheetName val="VCDD_226"/>
      <sheetName val="Chlech_-225"/>
      <sheetName val="TNGHIEM_225"/>
      <sheetName val="chi_tiet_dz_22_kv5"/>
      <sheetName val="vt_A_cap5"/>
      <sheetName val="vc_vat_tu_CHUNG_5"/>
      <sheetName val="PQ_tuyen5"/>
      <sheetName val="Trung_chuyen5"/>
      <sheetName val="T_T_CL_VC_DZ_225"/>
      <sheetName val="TH_dz_225"/>
      <sheetName val="TNGHIEM_0,45"/>
      <sheetName val="DG_895"/>
      <sheetName val="SLVC_0_410"/>
      <sheetName val="VCDD_0_410"/>
      <sheetName val="Ch_lech_-0,45"/>
      <sheetName val="TDIEN-PHAn_PHOI5"/>
      <sheetName val="CHITIET_0_4_KV5"/>
      <sheetName val="VT_ds_0,45"/>
      <sheetName val="Th_0,45"/>
      <sheetName val="Bia_0_45"/>
      <sheetName val="TU_BU5"/>
      <sheetName val="TU_DIEN5"/>
      <sheetName val="chi_tiet_TBA5"/>
      <sheetName val="VT_TB_TBA5"/>
      <sheetName val="TH_4005"/>
      <sheetName val="Bia_4005"/>
      <sheetName val="DM_665"/>
      <sheetName val="SLVC_TBA5"/>
      <sheetName val="VC_TBA5"/>
      <sheetName val="kl_tt5"/>
      <sheetName val="TONG_KE_DZ_22_KV5"/>
      <sheetName val="SLVC_225"/>
      <sheetName val="TH_VT0,45"/>
      <sheetName val="TH_VT225"/>
      <sheetName val="TONG_DZ_0_4_KV5"/>
      <sheetName val="DG_vat_tu5"/>
      <sheetName val="TH_thao_do_355"/>
      <sheetName val="bia_35_thao_do5"/>
      <sheetName val="Bia_155"/>
      <sheetName val="Bia_255"/>
      <sheetName val="Bia__1605"/>
      <sheetName val="TH_1605"/>
      <sheetName val="TH_155"/>
      <sheetName val="TH_255"/>
      <sheetName val="DLC_DIEN_AP5"/>
      <sheetName val="HS_Dia_ban5"/>
      <sheetName val="VC_VT_TB5"/>
      <sheetName val="SLVC_0_411"/>
      <sheetName val="vt_225"/>
      <sheetName val="VCDD_0_411"/>
      <sheetName val="Kho_Tam5"/>
      <sheetName val="Bia_0,45"/>
      <sheetName val="Bia_TBA5"/>
      <sheetName val="TH_505"/>
      <sheetName val="Bia_505"/>
      <sheetName val="TH_755"/>
      <sheetName val="TH_31,55"/>
      <sheetName val="Bia_31,55"/>
      <sheetName val="Bia_755"/>
      <sheetName val="TH_1005"/>
      <sheetName val="Bia__1005"/>
      <sheetName val="SL_dau_tien6"/>
      <sheetName val="HSDC_GOC6"/>
      <sheetName val="Th_Thao_do_0,46"/>
      <sheetName val="TH_thao_do_226"/>
      <sheetName val="TH-TBA_THAO_DO6"/>
      <sheetName val="Bia_Thao_do_0,46"/>
      <sheetName val="Bia_Thao_do_226"/>
      <sheetName val="DM_856"/>
      <sheetName val="Bia_CS6"/>
      <sheetName val="VCDD_CS6"/>
      <sheetName val="DGVCTC_676"/>
      <sheetName val="Bia_thao_do_TBA6"/>
      <sheetName val="bang_dien6"/>
      <sheetName val="Cl_lech-cs6"/>
      <sheetName val="vt_CS6"/>
      <sheetName val="SLVC_CS6"/>
      <sheetName val="Chi_tiet_-_CS6"/>
      <sheetName val="th_CS6"/>
      <sheetName val="TH_VTCS6"/>
      <sheetName val="th_CT6"/>
      <sheetName val="chiet_tinh6"/>
      <sheetName val="DM_676"/>
      <sheetName val="VCDD_227"/>
      <sheetName val="Chlech_-226"/>
      <sheetName val="TNGHIEM_226"/>
      <sheetName val="chi_tiet_dz_22_kv6"/>
      <sheetName val="vt_A_cap6"/>
      <sheetName val="vc_vat_tu_CHUNG_6"/>
      <sheetName val="PQ_tuyen6"/>
      <sheetName val="Trung_chuyen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9"/>
      <sheetData sheetId="10"/>
      <sheetData sheetId="11"/>
      <sheetData sheetId="12" refreshError="1"/>
      <sheetData sheetId="13" refreshError="1"/>
      <sheetData sheetId="14"/>
      <sheetData sheetId="15" refreshError="1"/>
      <sheetData sheetId="16"/>
      <sheetData sheetId="17"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row r="28">
          <cell r="B28">
            <v>0</v>
          </cell>
          <cell r="C28" t="str">
            <v>(1+0.2/2.638)*0.95*1.71*1.75</v>
          </cell>
          <cell r="D28">
            <v>3.0584076004548897</v>
          </cell>
          <cell r="E28" t="str">
            <v>(1+0.0/2.638)*0.95*1.71*1.75</v>
          </cell>
          <cell r="F28">
            <v>2.8428749999999998</v>
          </cell>
          <cell r="G28" t="str">
            <v>(1+0.0/2.638)*0.95*1.71*1.75/1.2</v>
          </cell>
          <cell r="H28">
            <v>2.3690625000000001</v>
          </cell>
        </row>
        <row r="29">
          <cell r="B29">
            <v>0.1</v>
          </cell>
          <cell r="C29" t="str">
            <v>(1+0.3/2.638)*0.95*1.71*1.75</v>
          </cell>
          <cell r="D29">
            <v>3.1661739006823346</v>
          </cell>
          <cell r="E29" t="str">
            <v>(1+0.1/2.638)*0.95*1.71*1.75</v>
          </cell>
          <cell r="F29">
            <v>2.9506413002274448</v>
          </cell>
          <cell r="G29" t="str">
            <v>(1+0.1/2.638)*0.95*1.71*1.75/1.2</v>
          </cell>
          <cell r="H29">
            <v>2.4588677501895373</v>
          </cell>
        </row>
        <row r="30">
          <cell r="B30">
            <v>0.2</v>
          </cell>
          <cell r="C30" t="str">
            <v>(1+0.4/2.638)*0.95*1.71*1.75</v>
          </cell>
          <cell r="D30">
            <v>3.2739402009097804</v>
          </cell>
          <cell r="E30" t="str">
            <v>(1+0.2/2.638)*0.95*1.71*1.75</v>
          </cell>
          <cell r="F30">
            <v>3.0584076004548897</v>
          </cell>
          <cell r="G30" t="str">
            <v>(1+0.2/2.638)*0.95*1.71*1.75/1.2</v>
          </cell>
          <cell r="H30">
            <v>2.548673000379075</v>
          </cell>
        </row>
        <row r="31">
          <cell r="B31">
            <v>0.3</v>
          </cell>
          <cell r="C31" t="str">
            <v>(1+0.5/2.638)*0.95*1.71*1.75</v>
          </cell>
          <cell r="D31">
            <v>3.3817065011372249</v>
          </cell>
          <cell r="E31" t="str">
            <v>(1+0.3/2.638)*0.95*1.71*1.75</v>
          </cell>
          <cell r="F31">
            <v>3.1661739006823346</v>
          </cell>
          <cell r="G31" t="str">
            <v>(1+0.3/2.638)*0.95*1.71*1.75/1.2</v>
          </cell>
          <cell r="H31">
            <v>2.6384782505686122</v>
          </cell>
        </row>
        <row r="32">
          <cell r="B32">
            <v>0.4</v>
          </cell>
          <cell r="C32" t="str">
            <v>(1+0.6/2.638)*0.95*1.71*1.75</v>
          </cell>
          <cell r="D32">
            <v>3.4894728013646699</v>
          </cell>
          <cell r="E32" t="str">
            <v>(1+0.4/2.638)*0.95*1.71*1.75</v>
          </cell>
          <cell r="F32">
            <v>3.2739402009097804</v>
          </cell>
          <cell r="G32" t="str">
            <v>(1+0.4/2.638)*0.95*1.71*1.75/1.2</v>
          </cell>
          <cell r="H32">
            <v>2.7282835007581503</v>
          </cell>
        </row>
        <row r="33">
          <cell r="B33">
            <v>0.5</v>
          </cell>
          <cell r="C33" t="str">
            <v>(1+0.7/2.638)*0.95*1.71*1.75</v>
          </cell>
          <cell r="D33">
            <v>3.5972391015921152</v>
          </cell>
          <cell r="E33" t="str">
            <v>(1+0.5/2.638)*0.95*1.71*1.75</v>
          </cell>
          <cell r="F33">
            <v>3.3817065011372249</v>
          </cell>
          <cell r="G33" t="str">
            <v>(1+0.5/2.638)*0.95*1.71*1.75/1.2</v>
          </cell>
          <cell r="H33">
            <v>2.8180887509476875</v>
          </cell>
        </row>
        <row r="34">
          <cell r="B34">
            <v>0.7</v>
          </cell>
          <cell r="C34" t="str">
            <v>(1+0.9/2.638)*0.95*1.71*1.75</v>
          </cell>
          <cell r="D34">
            <v>3.8127717020470047</v>
          </cell>
          <cell r="E34" t="str">
            <v>(1+0.7/2.638)*0.95*1.71*1.75</v>
          </cell>
          <cell r="F34">
            <v>3.5972391015921152</v>
          </cell>
          <cell r="G34" t="str">
            <v>(1+0.7/2.638)*0.95*1.71*1.75/1.2</v>
          </cell>
          <cell r="H34">
            <v>2.9976992513267628</v>
          </cell>
        </row>
        <row r="35">
          <cell r="B35">
            <v>1</v>
          </cell>
          <cell r="C35" t="str">
            <v>(1+1..2/2.638)*0.95*1.71*1.75</v>
          </cell>
          <cell r="D35">
            <v>4.1360706027293395</v>
          </cell>
          <cell r="E35" t="str">
            <v>(1+1.0/2.638)*0.95*1.71*1.75</v>
          </cell>
          <cell r="F35">
            <v>3.92053800227445</v>
          </cell>
          <cell r="G35" t="str">
            <v>(1+1.0/2.638)*0.95*1.71*1.75/1.2</v>
          </cell>
          <cell r="H35">
            <v>3.267115001895375</v>
          </cell>
        </row>
      </sheetData>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Tinh"/>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ia"/>
      <sheetName val="chi tiet"/>
      <sheetName val="Bu CL"/>
      <sheetName val="sheet2"/>
      <sheetName val="Dactinh"/>
      <sheetName val="THUECD"/>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TTVanChuyen"/>
      <sheetName val="Kiem-Toan"/>
      <sheetName val="chi tiet C"/>
      <sheetName val="Du toan"/>
      <sheetName val="Quantity"/>
      <sheetName val="Keothep"/>
      <sheetName val="Re-bar"/>
      <sheetName val="CHITIET"/>
    </sheetNames>
    <sheetDataSet>
      <sheetData sheetId="0" refreshError="1"/>
      <sheetData sheetId="1" refreshError="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C-01"/>
      <sheetName val="XL4Poppy"/>
      <sheetName val="FUC_01"/>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KP"/>
      <sheetName val="CPTV"/>
      <sheetName val="DLNS"/>
      <sheetName val="TONGHOP"/>
      <sheetName val="BT"/>
      <sheetName val="dtchi tietCS"/>
      <sheetName val="DGIAVC22KV"/>
      <sheetName val="dt chi tiet TT"/>
      <sheetName val="dt chi tiet HT "/>
      <sheetName val="Phan thi nghiem DZ"/>
      <sheetName val="VANCHUYEN"/>
      <sheetName val="LKE VL&amp;TB 250"/>
      <sheetName val="LKE TB&amp;VL320"/>
      <sheetName val="DT250 T1&amp;TH2TRAM"/>
      <sheetName val="320 LECH XT- T3"/>
      <sheetName val="LKTBA T1,2&amp;3"/>
      <sheetName val="TBA320 CANBANG-T2"/>
      <sheetName val="dthc"/>
      <sheetName val="LKE VL&amp;TB 270"/>
      <sheetName val="LKE&quot;TB&amp;VL322"/>
      <sheetName val="TBA320 CANBANG-U2"/>
      <sheetName val="Giai trinh"/>
      <sheetName val="SL dau tien"/>
      <sheetName val="HSKVUC"/>
      <sheetName val="dt chi piet TT"/>
      <sheetName val="PHAN DS 22 KV"/>
      <sheetName val="TL"/>
      <sheetName val="DC"/>
      <sheetName val="Du_lie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Sheet1"/>
      <sheetName val="XL4Poppy"/>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10000000"/>
      <sheetName val="T6"/>
      <sheetName val="Mau"/>
      <sheetName val="SP-KH"/>
      <sheetName val="Nhapkho"/>
      <sheetName val="Xuatkho"/>
      <sheetName val="PT"/>
      <sheetName val="TH"/>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Q1-02"/>
      <sheetName val="Q2-02"/>
      <sheetName val="Q3-02"/>
      <sheetName val="C45"/>
      <sheetName val="C47A"/>
      <sheetName val="C47B"/>
      <sheetName val="C46"/>
      <sheetName val="DsachYT"/>
      <sheetName val="00"/>
      <sheetName val="Bhxhoi"/>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Chia T1"/>
      <sheetName val="Chia T2"/>
      <sheetName val="Chia T3"/>
      <sheetName val="TH11"/>
      <sheetName val="TH T11"/>
      <sheetName val="TH T1"/>
      <sheetName val="XL4Test5"/>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Outlets"/>
      <sheetName val="PGs"/>
      <sheetName val="TAI"/>
      <sheetName val="BANLE"/>
      <sheetName val="t.kho"/>
      <sheetName val="CLB"/>
      <sheetName val="phong"/>
      <sheetName val="hoat"/>
      <sheetName val="tong BH"/>
      <sheetName val="KH LDTL"/>
      <sheetName val="SILICAT_x0003_"/>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LUONG CHO HUU"/>
      <sheetName val="thu BHXH,YT"/>
      <sheetName val="Phan bo"/>
      <sheetName val="1-12"/>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MTL$-INTER"/>
      <sheetName val="TH QT"/>
      <sheetName val="KE QT"/>
      <sheetName val="TH VL, NC, DDHT Thanhphuoc"/>
      <sheetName val="Summary"/>
      <sheetName val="Design &amp; Applications"/>
      <sheetName val="Building Summary"/>
      <sheetName val="Building"/>
      <sheetName val="External Works"/>
      <sheetName val="??-BLDG"/>
      <sheetName val="Pivot(Silica|e)"/>
      <sheetName val="_x0000__x0000__x0000__x0000__x0000__x0000_"/>
      <sheetName val="ROCK WO_x0003__x0000_"/>
      <sheetName val="Chiet tinh dz22"/>
      <sheetName val="gvl"/>
      <sheetName val="???????-BLDG"/>
      <sheetName val="S¶_x001d_et2"/>
      <sheetName val="Pi6ot(Urethan)"/>
      <sheetName val="Sheed4"/>
      <sheetName val="TH_x0001_NG2"/>
      <sheetName val="hoat_x0000_࣭_x0000__x0000__x0000__x0000__x0000__x0000__x0000__x0000__x0009__x0000_᭬࣫_x0000__x0004__x0000__x0000__x0000__x0000__x0000__x0000_ᑜ࣭_x0000__x0000__x0000_"/>
      <sheetName val="Macro1"/>
      <sheetName val="Macro2"/>
      <sheetName val="Macro3"/>
      <sheetName val="INSUL"/>
      <sheetName val="DU TRU LUONG 06 TH@NG"/>
      <sheetName val="AN CA DH 10"/>
      <sheetName val="TAM UNG LNC TH 08"/>
      <sheetName val="Leong thoi gian th 10"/>
      <sheetName val="Luong thoa gian th 11"/>
      <sheetName val="at lns th 10"/>
      <sheetName val="tam ung DNS th 11"/>
      <sheetName val="XL4Test4"/>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Piwot(Silicate)"/>
      <sheetName val="TH T19"/>
      <sheetName val="Dieu chinh"/>
      <sheetName val="So -03"/>
      <sheetName val="SoLD"/>
      <sheetName val="So-02"/>
      <sheetName val="báo cáo thang11 m?i"/>
      <sheetName val="vi_du_n"/>
      <sheetName val="vi_du"/>
      <sheetName val="Bieu 2"/>
      <sheetName val="biªu 3"/>
      <sheetName val="bieu1 CTy"/>
      <sheetName val="b2 cty"/>
      <sheetName val="b 3 cty"/>
      <sheetName val="bieu 7"/>
      <sheetName val="bieu 9"/>
      <sheetName val="b14"/>
      <sheetName val="Sheet12"/>
      <sheetName val="Pivot(RckWool)"/>
      <sheetName val="Du_lieu"/>
      <sheetName val="Pivot(_x0007_lass Wool)"/>
      <sheetName val="Sheev6"/>
      <sheetName val="Nhap fon gia VL dia phuong"/>
      <sheetName val="Giai trinh"/>
      <sheetName val="thong tin cty"/>
      <sheetName val="TK-in"/>
      <sheetName val="TKTH"/>
      <sheetName val="BR"/>
      <sheetName val="MV"/>
      <sheetName val="mvtt"/>
      <sheetName val="HDKT"/>
      <sheetName val="Linh tinh"/>
      <sheetName val="nk"/>
      <sheetName val="N"/>
      <sheetName val="X"/>
      <sheetName val="CT Thang Mo"/>
      <sheetName val="CT  PL"/>
      <sheetName val="Chi tiet"/>
      <sheetName val="bcôhang"/>
      <sheetName val="RDP013"/>
      <sheetName val="뜃맟뭁돽띿맟?-BLDG"/>
      <sheetName val="CAT_5"/>
      <sheetName val="현장관리비"/>
      <sheetName val="실행내역"/>
      <sheetName val="#REF"/>
      <sheetName val="적용환율"/>
      <sheetName val="合成単価作成表-BLDG"/>
      <sheetName val="EQUIPMENT -2"/>
      <sheetName val="전차선로 물량표"/>
      <sheetName val="PBS"/>
      <sheetName val="간접비내역-1"/>
      <sheetName val="Basic"/>
      <sheetName val="DESIGN CRITERIA"/>
      <sheetName val="용기"/>
      <sheetName val="Q2-00"/>
      <sheetName val="??????"/>
      <sheetName val="ROCK WO_x0003_?"/>
      <sheetName val="hoat?࣭????????_x0009_?᭬࣫?_x0004_??????ᑜ࣭???"/>
      <sheetName val="hoat_x0000_࣭_x0000__x0009_᭬࣫_x0000__x0004__x0000_ᑜ࣭_x0000_ڬ࣫_x0000_"/>
      <sheetName val="hoat?࣭?_x0009_᭬࣫?_x0004_?ᑜ࣭?ڬ࣫?"/>
      <sheetName val="_x0000__x0000__x0000__x0000__x0000__x0009__x0000_??_x0000__x0004__x0000__x0000__x0000__x0000__x0000__x0000_??_x0000__x0000__x0000__x0000__x0000__x0000__x0000__x0000_??_x0000__x0000_"/>
      <sheetName val="?????_x0009_????_x0004_????????????????????"/>
      <sheetName val="hoat_x0000_?_x0000__x0009_??_x0000__x0004__x0000_??_x0000_??_x0000_"/>
      <sheetName val="hoat??????????_x0009_????_x0004_???????????"/>
      <sheetName val="공통가설"/>
      <sheetName val="Coc$0x40cm"/>
      <sheetName val="&quot;0ngay"/>
      <sheetName val="báo cák thang11 mới"/>
      <sheetName val="THANG'"/>
      <sheetName val="PACK"/>
      <sheetName val="INV"/>
      <sheetName val="TK-XUAT"/>
      <sheetName val="TK-NHAP"/>
      <sheetName val="DT 1"/>
      <sheetName val="DT 2"/>
      <sheetName val="DT 3"/>
      <sheetName val="DM"/>
      <sheetName val="SP"/>
      <sheetName val="NPL"/>
      <sheetName val="CN"/>
      <sheetName val="BCN"/>
      <sheetName val="Q TOAN"/>
      <sheetName val="NO MUA"/>
      <sheetName val="VO CHAI"/>
      <sheetName val="VC THU HOI"/>
      <sheetName val="NEW-PANEL"/>
      <sheetName val="TT_10KV"/>
      <sheetName val="\uong mot ngay cong xay lap"/>
      <sheetName val="Luong mot ngay conw0khao sat"/>
      <sheetName val="thu BHXH&lt;YT"/>
      <sheetName val="PNT-QUOT-#3"/>
      <sheetName val="COAT&amp;WRAP-QIOT-#3"/>
      <sheetName val="TH4_x0000__x0000__x0000__x0000__x0000__x0000__x0000__x0000__x0000__x0000__x0000_ℨʢ_x0000__x0004__x0000__x0000__x0000__x0000__x0000__x0000_崬ʢ_x0000__x0000__x0000__x0000__x0000_"/>
      <sheetName val="SILICCTE"/>
      <sheetName val="Luong moÿÿngay cong khao sat"/>
      <sheetName val="ctTBA"/>
      <sheetName val="TK"/>
      <sheetName val="BRCT"/>
      <sheetName val="SDHD"/>
      <sheetName val="SDHD QUY"/>
      <sheetName val="GTGT135"/>
      <sheetName val="BRCN135"/>
      <sheetName val="MV135"/>
      <sheetName val="SDHDCN"/>
      <sheetName val="SDHDCN quy"/>
      <sheetName val="NXT.CN03"/>
      <sheetName val="bl"/>
      <sheetName val="20000000"/>
      <sheetName val="truy_x0000_thu"/>
      <sheetName val="MTO REV.0"/>
      <sheetName val="Phan tich don ႀ￸a chi tiet"/>
      <sheetName val="MTO REV.2(ARMOR)"/>
      <sheetName val="LABTOTAL"/>
      <sheetName val="적용률"/>
      <sheetName val="_x0010_iwot(Silicate)"/>
      <sheetName val="tong l²_x0000__x0000_ ban"/>
      <sheetName val="TH4???????????ℨʢ?_x0004_??????崬ʢ?????"/>
      <sheetName val="TH VL_ NC_ DDHT Thanhphuoc"/>
      <sheetName val="DG"/>
      <sheetName val="Tong hop QL4( - 3"/>
      <sheetName val="_x0010_ivot(Glass Wool)"/>
      <sheetName val="She%t1"/>
      <sheetName val="XL4Pop`y"/>
      <sheetName val="Chitieu-dam c!c loai"/>
      <sheetName val="@Gdg"/>
      <sheetName val="CocKJ1m"/>
      <sheetName val="TA²_x0000__x0000_NH"/>
      <sheetName val="SN C£GNV"/>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湡㘱_x0005_䨀湡㜱"/>
      <sheetName val="ㅮԷ_x0000_慊ㅮԸ"/>
      <sheetName val="㠱_x0005_䨀湡〲_x0005_"/>
      <sheetName val="԰_x0000_慊㉮Ա_x0000_"/>
      <sheetName val="_x0005_䨀湡㈲_x0005_䨀"/>
      <sheetName val="_x0000_慊㉮Գ_x0000_慊㉮Դ"/>
      <sheetName val="湡㐲_x0005_䨀湡㔲_x0005_"/>
      <sheetName val="㔲_x0005_䨀"/>
      <sheetName val="Gia vat tu"/>
      <sheetName val="_______-BLDG"/>
      <sheetName val="__-BLDG"/>
      <sheetName val="뜃맟뭁돽띿맟_-BLDG"/>
      <sheetName val="báo cáo thang11 m_i"/>
      <sheetName val="truy"/>
      <sheetName val="_x0000_TCTiet"/>
      <sheetName val="Pivnt(RockWool)"/>
      <sheetName val="@ivot(Form Glass)"/>
      <sheetName val="Pivot(Gl!ss Wool)"/>
      <sheetName val="ROCK WOKL"/>
      <sheetName val="He co"/>
      <sheetName val="Bhitieu-dam cac loai"/>
      <sheetName val="BCDTK"/>
      <sheetName val="soktmay"/>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HVT"/>
      <sheetName val="PTDM"/>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T.Tinh"/>
      <sheetName val="To*K hop"/>
      <sheetName val="Luo_x0009__x0008__x0010__x0000__x0000__x0006__x0005__x0000__x001c_ Í_x0007_ÉÀ_x0000__x0000__x0006__x0003__x0000__x0000_á_x0000__x0002__x0000_°"/>
      <sheetName val=" thoat nuog nc"/>
      <sheetName val="______"/>
      <sheetName val="ROCK WO_x0003__"/>
      <sheetName val="hoat_࣭_________x0009__᭬࣫__x0004_______ᑜ࣭___"/>
      <sheetName val="呅吠ь"/>
      <sheetName val="㔳_x000c_吀⁈畱敹瑴慯ծ"/>
      <sheetName val="䨀湡в"/>
      <sheetName val="湡г"/>
      <sheetName val="д"/>
      <sheetName val="慊ㅮԵ"/>
      <sheetName val="ㅮԷ"/>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hoat???_x0009_???_x0004_???????"/>
      <sheetName val="tong l²?? ban"/>
      <sheetName val="????"/>
      <sheetName val="báo cák thang11 m?i"/>
      <sheetName val="???????"/>
      <sheetName val="?????"/>
      <sheetName val="??????_x0005_???_x000c_????"/>
      <sheetName val="?_x000c_?????????????"/>
      <sheetName val="?????????????_x0003_??_x0003_"/>
      <sheetName val="???_x0003_??_x0003_??_x0008_????"/>
      <sheetName val="??????_x000d_???????_x000b_??"/>
      <sheetName val="????_x000b_????"/>
      <sheetName val="?????_x0006_??"/>
      <sheetName val="????_x0005_?"/>
      <sheetName val="?????_x0004_"/>
      <sheetName val="TSCD"/>
      <sheetName val="????_x0004_?"/>
      <sheetName val="???_x0004_??"/>
      <sheetName val="??_x0004_???"/>
      <sheetName val="?_x0005_???_x0005_?"/>
      <sheetName val="_x0005_???_x0005_?"/>
      <sheetName val="???_x0005_??"/>
      <sheetName val="??_x0005_???"/>
      <sheetName val="?_x0005_???_x0005_"/>
      <sheetName val="????????"/>
      <sheetName val="??_x0005_???_x0005_"/>
      <sheetName val="?_x0005_?"/>
      <sheetName val="hoat_࣭__x0009_᭬࣫__x0004__ᑜ࣭_ڬ࣫_"/>
      <sheetName val="THANG_"/>
      <sheetName val="______x0009______x0004_____________________"/>
      <sheetName val="hoat___________x0009______x0004____________"/>
      <sheetName val="hoat____x0009_____x0004________"/>
      <sheetName val="_x0000__x0000_CAI TK 112"/>
      <sheetName val="Bia"/>
      <sheetName val="So lieu"/>
      <sheetName val="POWER"/>
      <sheetName val="견적조건"/>
      <sheetName val="BQ_Equip_Pipe"/>
      <sheetName val="BLR-S"/>
      <sheetName val="Est-Hotpp"/>
      <sheetName val="PipWT"/>
      <sheetName val="piping"/>
      <sheetName val="PTDGDT"/>
      <sheetName val="DGdW"/>
      <sheetName val="To~g hop"/>
      <sheetName val="TXANG7"/>
      <sheetName val="Sxeet4"/>
      <sheetName val="To~g hop Q\47"/>
      <sheetName val="d' cOng"/>
      <sheetName val="CAPTHOAP"/>
      <sheetName val=" t`oat nuoc nc"/>
      <sheetName val="TKP"/>
      <sheetName val="ࡍ_x0000_慂杮朠慩_x000a_䠀乁⁇䥔久䈠佁_x000b_吀⁈"/>
      <sheetName val="BREAKDOWN(철거설치)"/>
      <sheetName val="COA-17"/>
      <sheetName val="C-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sheetData sheetId="199"/>
      <sheetData sheetId="200"/>
      <sheetData sheetId="201"/>
      <sheetData sheetId="202"/>
      <sheetData sheetId="203"/>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refreshError="1"/>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sheetData sheetId="272" refreshError="1"/>
      <sheetData sheetId="273" refreshError="1"/>
      <sheetData sheetId="274"/>
      <sheetData sheetId="275"/>
      <sheetData sheetId="276"/>
      <sheetData sheetId="277"/>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sheetData sheetId="290" refreshError="1"/>
      <sheetData sheetId="291" refreshError="1"/>
      <sheetData sheetId="292" refreshError="1"/>
      <sheetData sheetId="293" refreshError="1"/>
      <sheetData sheetId="294"/>
      <sheetData sheetId="295"/>
      <sheetData sheetId="296"/>
      <sheetData sheetId="297"/>
      <sheetData sheetId="298"/>
      <sheetData sheetId="299" refreshError="1"/>
      <sheetData sheetId="300"/>
      <sheetData sheetId="301"/>
      <sheetData sheetId="302"/>
      <sheetData sheetId="303"/>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sheetData sheetId="314"/>
      <sheetData sheetId="315"/>
      <sheetData sheetId="316" refreshError="1"/>
      <sheetData sheetId="317"/>
      <sheetData sheetId="318"/>
      <sheetData sheetId="319"/>
      <sheetData sheetId="320"/>
      <sheetData sheetId="321"/>
      <sheetData sheetId="322"/>
      <sheetData sheetId="323"/>
      <sheetData sheetId="324"/>
      <sheetData sheetId="325" refreshError="1"/>
      <sheetData sheetId="326" refreshError="1"/>
      <sheetData sheetId="327"/>
      <sheetData sheetId="328"/>
      <sheetData sheetId="329"/>
      <sheetData sheetId="330"/>
      <sheetData sheetId="331"/>
      <sheetData sheetId="332"/>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sheetData sheetId="345" refreshError="1"/>
      <sheetData sheetId="346" refreshError="1"/>
      <sheetData sheetId="347"/>
      <sheetData sheetId="348"/>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refreshError="1"/>
      <sheetData sheetId="359" refreshError="1"/>
      <sheetData sheetId="360" refreshError="1"/>
      <sheetData sheetId="361"/>
      <sheetData sheetId="362" refreshError="1"/>
      <sheetData sheetId="363" refreshError="1"/>
      <sheetData sheetId="364" refreshError="1"/>
      <sheetData sheetId="365"/>
      <sheetData sheetId="366"/>
      <sheetData sheetId="367"/>
      <sheetData sheetId="368" refreshError="1"/>
      <sheetData sheetId="369"/>
      <sheetData sheetId="370"/>
      <sheetData sheetId="371"/>
      <sheetData sheetId="372"/>
      <sheetData sheetId="373"/>
      <sheetData sheetId="374"/>
      <sheetData sheetId="375"/>
      <sheetData sheetId="376"/>
      <sheetData sheetId="377" refreshError="1"/>
      <sheetData sheetId="378" refreshError="1"/>
      <sheetData sheetId="379"/>
      <sheetData sheetId="380" refreshError="1"/>
      <sheetData sheetId="381" refreshError="1"/>
      <sheetData sheetId="382" refreshError="1"/>
      <sheetData sheetId="383"/>
      <sheetData sheetId="384" refreshError="1"/>
      <sheetData sheetId="385" refreshError="1"/>
      <sheetData sheetId="386" refreshError="1"/>
      <sheetData sheetId="387" refreshError="1"/>
      <sheetData sheetId="388" refreshError="1"/>
      <sheetData sheetId="389"/>
      <sheetData sheetId="390" refreshError="1"/>
      <sheetData sheetId="391" refreshError="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efreshError="1"/>
      <sheetData sheetId="406"/>
      <sheetData sheetId="407"/>
      <sheetData sheetId="408"/>
      <sheetData sheetId="409"/>
      <sheetData sheetId="410"/>
      <sheetData sheetId="411"/>
      <sheetData sheetId="412"/>
      <sheetData sheetId="413"/>
      <sheetData sheetId="414"/>
      <sheetData sheetId="415"/>
      <sheetData sheetId="416"/>
      <sheetData sheetId="417"/>
      <sheetData sheetId="418" refreshError="1"/>
      <sheetData sheetId="419" refreshError="1"/>
      <sheetData sheetId="420"/>
      <sheetData sheetId="421"/>
      <sheetData sheetId="422"/>
      <sheetData sheetId="423"/>
      <sheetData sheetId="424" refreshError="1"/>
      <sheetData sheetId="425"/>
      <sheetData sheetId="426"/>
      <sheetData sheetId="427" refreshError="1"/>
      <sheetData sheetId="428"/>
      <sheetData sheetId="429"/>
      <sheetData sheetId="430"/>
      <sheetData sheetId="431"/>
      <sheetData sheetId="432"/>
      <sheetData sheetId="433"/>
      <sheetData sheetId="434"/>
      <sheetData sheetId="435"/>
      <sheetData sheetId="436"/>
      <sheetData sheetId="437" refreshError="1"/>
      <sheetData sheetId="438"/>
      <sheetData sheetId="439" refreshError="1"/>
      <sheetData sheetId="440"/>
      <sheetData sheetId="441"/>
      <sheetData sheetId="442"/>
      <sheetData sheetId="443" refreshError="1"/>
      <sheetData sheetId="444" refreshError="1"/>
      <sheetData sheetId="445"/>
      <sheetData sheetId="446"/>
      <sheetData sheetId="447"/>
      <sheetData sheetId="448"/>
      <sheetData sheetId="449"/>
      <sheetData sheetId="450" refreshError="1"/>
      <sheetData sheetId="451" refreshError="1"/>
      <sheetData sheetId="452" refreshError="1"/>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efreshError="1"/>
      <sheetData sheetId="468" refreshError="1"/>
      <sheetData sheetId="469"/>
      <sheetData sheetId="470" refreshError="1"/>
      <sheetData sheetId="471" refreshError="1"/>
      <sheetData sheetId="472" refreshError="1"/>
      <sheetData sheetId="473"/>
      <sheetData sheetId="474" refreshError="1"/>
      <sheetData sheetId="475" refreshError="1"/>
      <sheetData sheetId="476"/>
      <sheetData sheetId="477"/>
      <sheetData sheetId="478"/>
      <sheetData sheetId="479"/>
      <sheetData sheetId="480" refreshError="1"/>
      <sheetData sheetId="481" refreshError="1"/>
      <sheetData sheetId="482"/>
      <sheetData sheetId="483"/>
      <sheetData sheetId="484"/>
      <sheetData sheetId="485"/>
      <sheetData sheetId="486"/>
      <sheetData sheetId="487"/>
      <sheetData sheetId="488"/>
      <sheetData sheetId="489"/>
      <sheetData sheetId="490"/>
      <sheetData sheetId="491"/>
      <sheetData sheetId="492"/>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sheetData sheetId="589" refreshError="1"/>
      <sheetData sheetId="590" refreshError="1"/>
      <sheetData sheetId="591"/>
      <sheetData sheetId="592" refreshError="1"/>
      <sheetData sheetId="593" refreshError="1"/>
      <sheetData sheetId="594" refreshError="1"/>
      <sheetData sheetId="595" refreshError="1"/>
      <sheetData sheetId="596" refreshError="1"/>
      <sheetData sheetId="597" refreshError="1"/>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sheetData sheetId="609" refreshError="1"/>
      <sheetData sheetId="610" refreshError="1"/>
      <sheetData sheetId="61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tdg"/>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ienluong"/>
      <sheetName val="SILICATE"/>
      <sheetName val="Lç khoan LK1"/>
      <sheetName val="sat"/>
      <sheetName val="ptvt"/>
      <sheetName val="dongia (2)"/>
      <sheetName val="gtrinh"/>
      <sheetName val="lam-moi"/>
      <sheetName val="chitiet"/>
      <sheetName val="giathanh1"/>
      <sheetName val="Du_lieu"/>
      <sheetName val="DONGIA"/>
      <sheetName val="thao-go"/>
      <sheetName val="#REF"/>
      <sheetName val="TH XL"/>
      <sheetName val="TH"/>
      <sheetName val="DLNS"/>
      <sheetName val="dtxl"/>
      <sheetName val="BSQ3"/>
      <sheetName val="Sheet1"/>
      <sheetName val="du lieu du toan"/>
      <sheetName val="Sheet2"/>
      <sheetName val="TK"/>
      <sheetName val="TH VL, NC, DDHT Thanhphuoc"/>
      <sheetName val="TONG HOP VL-NC"/>
      <sheetName val="DU TOAN"/>
      <sheetName val="khung ten TD"/>
      <sheetName val="Chi tiet VL-NC-MTC"/>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BKC-110"/>
      <sheetName val="chitimc"/>
      <sheetName val="gVL"/>
      <sheetName val="TSO_CHUNG"/>
      <sheetName val="kstk"/>
      <sheetName val="Gia"/>
      <sheetName val="th dt dz&amp;tba shoa"/>
      <sheetName val="MTL$-INTER"/>
      <sheetName val="Thang 01"/>
      <sheetName val="Thang 02"/>
      <sheetName val="Thang 03"/>
      <sheetName val="Thang 04"/>
      <sheetName val="Thang 05"/>
      <sheetName val="Thang 06"/>
      <sheetName val="XL4Test5"/>
      <sheetName val="Tongke"/>
      <sheetName val="ChiTietDZ"/>
      <sheetName val="VuaBT"/>
      <sheetName val="Chiet tinh cong to"/>
      <sheetName val="CTFS"/>
      <sheetName val="CT35"/>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 val="THDZ0_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T-35KV+TBA"/>
      <sheetName val="35KV"/>
      <sheetName val="TBA "/>
      <sheetName val="T_35KV"/>
      <sheetName val="Thop"/>
      <sheetName val="TT_0,22KV"/>
      <sheetName val="0,22"/>
      <sheetName val="T_0,22KV"/>
      <sheetName val="CP_Thietbi"/>
      <sheetName val="XAY LAP 0,2 kV"/>
      <sheetName val="CP_Xaylap"/>
      <sheetName val="CP_Khac"/>
      <sheetName val="VLC_0,22"/>
      <sheetName val="VL_35"/>
      <sheetName val="TTVanChuyen"/>
      <sheetName val="THVL"/>
      <sheetName val="CP KHAC 0,2 kV"/>
      <sheetName val="TONG DU TOAN 0,22 kV"/>
      <sheetName val="Gia_GC_Satth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M tu van DZ 110 kV"/>
      <sheetName val="DM tu van DZ 35 kV"/>
      <sheetName val="DM tu van"/>
      <sheetName val="Don gia"/>
      <sheetName val="táng hîp"/>
      <sheetName val="THDT DZ 110 kV"/>
      <sheetName val="VL-NC-M 110 KV"/>
      <sheetName val="Phu kien 110 kV"/>
      <sheetName val="NC Day su Phu kien"/>
      <sheetName val="THDT DZ 35 kV"/>
      <sheetName val="VL-NC-M 35 KV"/>
      <sheetName val="Sheet1"/>
      <sheetName val="Phu kien 35 kV"/>
      <sheetName val="Tiep dia"/>
      <sheetName val="M4T-1"/>
      <sheetName val="Tien luong M4T-1"/>
      <sheetName val="M4T-2"/>
      <sheetName val="Tien luong M4T-2"/>
      <sheetName val="M4T-3"/>
      <sheetName val="Tien luong M4T-3"/>
      <sheetName val="MB-1"/>
      <sheetName val="Tien luong MB-1"/>
      <sheetName val="MB-2"/>
      <sheetName val="Tien luong MB-2"/>
      <sheetName val="MB-3"/>
      <sheetName val="Tien luong MB-3"/>
      <sheetName val="MB-4"/>
      <sheetName val="Tien luong MB-4"/>
      <sheetName val="MB-5"/>
      <sheetName val="Tien luong MB-5"/>
      <sheetName val="MB-6"/>
      <sheetName val="MBK"/>
      <sheetName val="Tien luong MBK"/>
      <sheetName val="Gia thanh chuoi su"/>
      <sheetName val="Tien luong MB-6"/>
      <sheetName val="MP-12"/>
      <sheetName val="Tien luong MP-12"/>
      <sheetName val="MN18-6"/>
      <sheetName val="Truoc thue)"/>
      <sheetName val="Khaosat"/>
      <sheetName val="Tong hop 1"/>
      <sheetName val="Xay lap"/>
      <sheetName val="Sheet2"/>
      <sheetName val="Chi tiet1"/>
      <sheetName val="Chi tiet"/>
      <sheetName val="Bu VL"/>
      <sheetName val="Dan"/>
      <sheetName val="Sheet3"/>
      <sheetName val="00000000"/>
      <sheetName val="XL4Test5"/>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gvl"/>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tdz35"/>
      <sheetName val="Du bao LL xe"/>
      <sheetName val="K.Tra do vong dan hoi"/>
      <sheetName val="Tinh truot"/>
      <sheetName val="Tinh Keo uon"/>
      <sheetName val="Cac bang tra"/>
      <sheetName val="About"/>
      <sheetName val="Du_lieu"/>
      <sheetName val="MTO REV.0"/>
      <sheetName val="dieuchinh"/>
      <sheetName val="HC"/>
      <sheetName val="QLN"/>
      <sheetName val="KTHUAT"/>
      <sheetName val="KT"/>
      <sheetName val="CN"/>
      <sheetName val="DLo"/>
      <sheetName val="BDa"/>
      <sheetName val="CDong"/>
      <sheetName val="KTang"/>
      <sheetName val="PBat"/>
      <sheetName val="TThuy"/>
      <sheetName val="CXa"/>
      <sheetName val="THop"/>
      <sheetName val="DGKV1"/>
      <sheetName val="GVTKV1"/>
      <sheetName val="DM tt van DZ 35 kV"/>
      <sheetName val="13.BANG CT"/>
      <sheetName val="14.MMUS GIUA NHIP"/>
      <sheetName val="4.HSPBngang"/>
      <sheetName val="6.Tinh tai"/>
      <sheetName val="2 NSl"/>
      <sheetName val="17.US CHU tho a_b"/>
      <sheetName val="15.MMUS GOI"/>
      <sheetName val="5.BANG I"/>
      <sheetName val="SILICATE"/>
      <sheetName val="gtrin⁨"/>
      <sheetName val="DG_QUANG NINH"/>
      <sheetName val="Hướng dẫn"/>
      <sheetName val="Ví dụ hàm Vlookup"/>
      <sheetName val="Gvl_QN"/>
      <sheetName val="Gvlks_QN"/>
      <sheetName val="Hoá Đơn NV"/>
      <sheetName val="Long"/>
      <sheetName val="Son Tay"/>
      <sheetName val="Hoa Binh"/>
      <sheetName val="Thuong Tin"/>
      <sheetName val="Vang Lai"/>
      <sheetName val="NV6"/>
      <sheetName val="NV7"/>
      <sheetName val="NV8"/>
      <sheetName val="NV9"/>
      <sheetName val="NV10"/>
      <sheetName val="Tong Xuat"/>
      <sheetName val="Tong Nhap"/>
      <sheetName val="Nhap Xuat Ton"/>
      <sheetName val="Ton Kho Ban Giao Chi Oanh"/>
      <sheetName val="QC"/>
      <sheetName val="NV"/>
      <sheetName val="So xuat hang Nuoc"/>
      <sheetName val="The kho Nuoc"/>
      <sheetName val="So Xuat hang Dac"/>
      <sheetName val="The kho Dac"/>
      <sheetName val="     ien 110 kV"/>
      <sheetName val="NC Day su      ien"/>
      <sheetName val="     ien 35 kV"/>
      <sheetName val="Thep dia"/>
      <sheetName val="THDT DZ 010 kV"/>
      <sheetName val="XL4Poppy"/>
      <sheetName val="LKVL_CK_HT_GD1"/>
      <sheetName val="CHITIET VL_NC"/>
      <sheetName val="VCV_BE_TONG"/>
      <sheetName val="chitimc"/>
      <sheetName val="dtxl"/>
      <sheetName val="KH-Q1,Q2,01"/>
      <sheetName val="Tien lumng MB-2"/>
      <sheetName val="Tien lumng MB-5"/>
      <sheetName val="Hu?ng d?n"/>
      <sheetName val="Ví d? hàm Vlookup"/>
      <sheetName val="gvl_x0000__x0000__x0000__x0000__x0000__x0000__x0000__x0000__x0000__x0000__x0000__x0000_쉘ž_x0000__x0004__x0000__x0000__x0000__x0000__x0000__x0000_॔ǥ_x0000__x0000__x0000__x0000_"/>
      <sheetName val="CT -THVLNC"/>
      <sheetName val="NHATKY"/>
      <sheetName val="cot_xa"/>
      <sheetName val="Mong"/>
      <sheetName val="M@-2"/>
      <sheetName val="VL-NCf 35 KV"/>
      <sheetName val="gtrin?"/>
      <sheetName val="Hoá Ðon NV"/>
      <sheetName val="Income Statement"/>
      <sheetName val="Shareholders' Equity"/>
      <sheetName val="PTDG (2)"/>
      <sheetName val="MTL$-INTER"/>
      <sheetName val="gtrin_"/>
      <sheetName val="Hu_ng d_n"/>
      <sheetName val="Ví d_ hàm Vlookup"/>
      <sheetName val="tonghop"/>
      <sheetName val="Revenue"/>
      <sheetName val="TTDZ22"/>
      <sheetName val="Chiettinh dz0,4"/>
      <sheetName val="DE tu van"/>
      <sheetName val="THCT"/>
      <sheetName val="THDZ0,4"/>
      <sheetName val="TH DZ35"/>
      <sheetName val="THTram"/>
      <sheetName val="Tien luonc LB-2"/>
      <sheetName val="Tien luong MB%4"/>
      <sheetName val="Tien luong LBK"/>
      <sheetName val="Tien duong MP-12"/>
      <sheetName val="ML18-6"/>
      <sheetName val="Sheut2"/>
      <sheetName val="gaathanh1"/>
      <sheetName val="gvl????????????쉘ž?_x0004_??????॔ǥ????"/>
      <sheetName val="kinh phí XD"/>
      <sheetName val="ctdg"/>
      <sheetName val="TTVanChuyen"/>
      <sheetName val="DG_LANG SON"/>
      <sheetName val="Gvl_LS"/>
      <sheetName val="Gvlks_LS"/>
      <sheetName val="gvl____________쉘ž__x0004_______॔ǥ____"/>
      <sheetName val="BK-C T"/>
      <sheetName val="g-vl"/>
      <sheetName val="_x0000__x0000__x0000__x0000__x0000__x0000__x0000__x0000__x0000__x0000__x0000__x0000_J[DZ110K~1.XLS]THPD"/>
      <sheetName val="????????????J[DZ110K~1.XLS]THPD"/>
      <sheetName val="gvl____________?__x0004_______?g____"/>
      <sheetName val="Hoá Ðõn NV"/>
      <sheetName val="Hý?ng d?n"/>
      <sheetName val="ru4Test5"/>
      <sheetName val="Tie~ luong M4T-1"/>
      <sheetName val="Phu kiej 35 kV"/>
      <sheetName val="Ti%n luong L4T-2"/>
      <sheetName val="Tidn luong MB-2"/>
      <sheetName val="Tien huong MB-3"/>
      <sheetName val="MP_x000d_12"/>
      <sheetName val="Tien luong MP-02"/>
      <sheetName val="Cheet2"/>
      <sheetName val="PL4Test1"/>
      <sheetName val="THPP.3"/>
      <sheetName val="DH,CD_x000c_THCN.1"/>
      <sheetName val="K.Tra do vkng dan hoi"/>
      <sheetName val="Abgut"/>
      <sheetName val="Tien luong L4T-2"/>
      <sheetName val="Tien huong MB-5"/>
      <sheetName val="DH,CD,DHCN.3"/>
      <sheetName val="PTVT"/>
      <sheetName val="DGKS"/>
      <sheetName val="KSTK"/>
      <sheetName val="THKP"/>
      <sheetName val="XL"/>
      <sheetName val="DTCT"/>
      <sheetName val="PTDG"/>
      <sheetName val="GiaTB"/>
      <sheetName val="THMayTC"/>
      <sheetName val="THVT"/>
      <sheetName val="tm"/>
      <sheetName val="ck"/>
      <sheetName val="th"/>
      <sheetName val="dt"/>
      <sheetName val="cl"/>
      <sheetName val="sl"/>
      <sheetName val="dth"/>
      <sheetName val="vt"/>
      <sheetName val="vc1"/>
      <sheetName val="vc2"/>
      <sheetName val="db"/>
      <sheetName val="nl"/>
      <sheetName val="tra2"/>
      <sheetName val="Hý_ng d_n"/>
      <sheetName val="gvl_x0000_쉘ž_x0000__x0004__x0000_॔ǥ_x0000_쌄ž_x0000_O_x0000_J[DZ110K~1.XLS"/>
      <sheetName val=""/>
      <sheetName val="____________J_DZ110K~1.XLS_THPD"/>
      <sheetName val="gvl_______________x0004________g____"/>
      <sheetName val="ÿhaoÿgo"/>
      <sheetName val="KB"/>
      <sheetName val="DZ 0.4"/>
      <sheetName val="T_xffff_T.5"/>
      <sheetName val="gvl_x0000__x0000__x0000__x0000__x0000__x0000__x0000__x0000__x0000__x0000__x0000__x0000_?_x0000__x0004__x0000__x0000__x0000__x0000__x0000__x0000_?g_x0000__x0000__x0000__x0000_"/>
      <sheetName val="gvl??????????????_x0004_???????g????"/>
      <sheetName val="gvl____________쉘ž__x005f_x0004_______"/>
      <sheetName val="gvl_______________x005f_x0004_______"/>
      <sheetName val="TONG_x000b_E3p "/>
      <sheetName val="'iathanh1"/>
      <sheetName val="CHITIE_x0004_ VL-NC-_x0004_T -1p"/>
      <sheetName val="CHITIET _x0016_L-NC"/>
      <sheetName val="_x0006_C"/>
      <sheetName val="KP_x0016_C-BD "/>
      <sheetName val="VL,NC,MTC"/>
      <sheetName val="Don_gia"/>
      <sheetName val="DM_tu_van_DZ_110_kV"/>
      <sheetName val="DM_tu_van_DZ_35_kV"/>
      <sheetName val="DM_tu_van"/>
      <sheetName val="táng_hîp"/>
      <sheetName val="THDT_DZ_110_kV"/>
      <sheetName val="VL-NC-M_110_KV"/>
      <sheetName val="Phu_kien_110_kV"/>
      <sheetName val="NC_Day_su_Phu_kien"/>
      <sheetName val="THDT_DZ_35_kV"/>
      <sheetName val="VL-NC-M_35_KV"/>
      <sheetName val="Phu_kien_35_kV"/>
      <sheetName val="Tiep_dia"/>
      <sheetName val="Tien_luong_M4T-1"/>
      <sheetName val="Tien_luong_M4T-2"/>
      <sheetName val="Tien_luong_M4T-3"/>
      <sheetName val="Tien_luong_MB-1"/>
      <sheetName val="Tien_luong_MB-2"/>
      <sheetName val="Tien_luong_MB-3"/>
      <sheetName val="Tien_luong_MB-4"/>
      <sheetName val="Tien_luong_MB-5"/>
      <sheetName val="Tien_luong_MBK"/>
      <sheetName val="Gia_thanh_chuoi_su"/>
      <sheetName val="Tien_luong_MB-6"/>
      <sheetName val="Tien_luong_MP-12"/>
      <sheetName val="Truoc_thue)"/>
      <sheetName val="Tong_hop_1"/>
      <sheetName val="Xay_lap"/>
      <sheetName val="Chi_tiet1"/>
      <sheetName val="Chi_tiet"/>
      <sheetName val="Bu_VL"/>
      <sheetName val="DZ 35"/>
      <sheetName val="Cto"/>
      <sheetName val="Phu kien 1࠱0 kV"/>
      <sheetName val="NC Dai su Phu kien"/>
      <sheetName val="MP_x000a_12"/>
      <sheetName val="Balance Sheet"/>
      <sheetName val="gvl?쉘ž?_x0004_?॔ǥ?쌄ž?O?J[DZ110K~1.XLS"/>
      <sheetName val="T_x000f_NG HOP VL-NC TT"/>
      <sheetName val="DM_tu_van_DZ_110_kV1"/>
      <sheetName val="DM_tu_van_DZ_35_kV1"/>
      <sheetName val="DM_tu_van1"/>
      <sheetName val="Don_gia1"/>
      <sheetName val="táng_hîp1"/>
      <sheetName val="THDT_DZ_110_kV1"/>
      <sheetName val="VL-NC-M_110_KV1"/>
      <sheetName val="Phu_kien_110_kV1"/>
      <sheetName val="NC_Day_su_Phu_kien1"/>
      <sheetName val="THDT_DZ_35_kV1"/>
      <sheetName val="VL-NC-M_35_KV1"/>
      <sheetName val="Phu_kien_35_kV1"/>
      <sheetName val="Tiep_dia1"/>
      <sheetName val="Tien_luong_M4T-11"/>
      <sheetName val="Tien_luong_M4T-21"/>
      <sheetName val="Tien_luong_M4T-31"/>
      <sheetName val="Tien_luong_MB-11"/>
      <sheetName val="Tien_luong_MB-21"/>
      <sheetName val="Tien_luong_MB-31"/>
      <sheetName val="Tien_luong_MB-41"/>
      <sheetName val="Tien_luong_MB-51"/>
      <sheetName val="Tien_luong_MBK1"/>
      <sheetName val="Gia_thanh_chuoi_su1"/>
      <sheetName val="Tien_luong_MB-61"/>
      <sheetName val="Tien_luong_MP-121"/>
      <sheetName val="Truoc_thue)1"/>
      <sheetName val="Tong_hop_11"/>
      <sheetName val="Xay_lap1"/>
      <sheetName val="Chi_tiet11"/>
      <sheetName val="Chi_tiet2"/>
      <sheetName val="Bu_VL1"/>
      <sheetName val="THPDMoi__(2)"/>
      <sheetName val="dongia_(2)"/>
      <sheetName val="TONG_HOP_VL-NC"/>
      <sheetName val="TONGKE3p_"/>
      <sheetName val="TH_VL,_NC,_DDHT_Thanhphuoc"/>
      <sheetName val="t-h_HA_THE"/>
      <sheetName val="CHITIET_VL-NC-TT_-1p"/>
      <sheetName val="TONG_HOP_VL-NC_TT"/>
      <sheetName val="TH_XL"/>
      <sheetName val="CHITIET_VL-NC"/>
      <sheetName val="CHITIET_VL-NC-TT-3p"/>
      <sheetName val="KPVC-BD_"/>
      <sheetName val="13_BANG_CT"/>
      <sheetName val="14_MMUS_GIUA_NHIP"/>
      <sheetName val="4_HSPBngang"/>
      <sheetName val="6_Tinh_tai"/>
      <sheetName val="2_NSl"/>
      <sheetName val="17_US_CHU_tho_a_b"/>
      <sheetName val="15_MMUS_GOI"/>
      <sheetName val="5_BANG_I"/>
      <sheetName val="Du_bao_LL_xe"/>
      <sheetName val="K_Tra_do_vong_dan_hoi"/>
      <sheetName val="Tinh_truot"/>
      <sheetName val="Tinh_Keo_uon"/>
      <sheetName val="Cac_bang_tra"/>
      <sheetName val="GDMN_1"/>
      <sheetName val="GDMN_2"/>
      <sheetName val="GDMN_3"/>
      <sheetName val="GDMN_4"/>
      <sheetName val="GDMN_5"/>
      <sheetName val="GDTH_1"/>
      <sheetName val="GDTH_2"/>
      <sheetName val="GDTH_3"/>
      <sheetName val="GDTH_4"/>
      <sheetName val="GDTH_5"/>
      <sheetName val="THCS_1"/>
      <sheetName val="THCS_2"/>
      <sheetName val="THCS_3"/>
      <sheetName val="THCS_4"/>
      <sheetName val="THCS_5"/>
      <sheetName val="THCS_6"/>
      <sheetName val="THPT_1"/>
      <sheetName val="THPT_2"/>
      <sheetName val="THPT_3"/>
      <sheetName val="THPT_4"/>
      <sheetName val="THPT_5"/>
      <sheetName val="THPT_6"/>
      <sheetName val="DH,CD,THCN_1"/>
      <sheetName val="DH,CD,THCN_2"/>
      <sheetName val="DH,CD,THCN_3"/>
      <sheetName val="GDKCQ_1"/>
      <sheetName val="GDKCQ_2"/>
      <sheetName val="DM_tt_van_DZ_35_kV"/>
      <sheetName val="Hoá_Đơn_NV"/>
      <sheetName val="Son_Tay"/>
      <sheetName val="Hoa_Binh"/>
      <sheetName val="Thuong_Tin"/>
      <sheetName val="Vang_Lai"/>
      <sheetName val="Tong_Xuat"/>
      <sheetName val="Tong_Nhap"/>
      <sheetName val="Nhap_Xuat_Ton"/>
      <sheetName val="Ton_Kho_Ban_Giao_Chi_Oanh"/>
      <sheetName val="So_xuat_hang_Nuoc"/>
      <sheetName val="The_kho_Nuoc"/>
      <sheetName val="So_Xuat_hang_Dac"/>
      <sheetName val="The_kho_Dac"/>
      <sheetName val="MTO_REV_0"/>
      <sheetName val="DG_QUANG_NINH"/>
      <sheetName val="Hướng_dẫn"/>
      <sheetName val="Ví_dụ_hàm_Vlookup"/>
      <sheetName val="_____ien_110_kV"/>
      <sheetName val="NC_Day_su______ien"/>
      <sheetName val="_____ien_35_kV"/>
      <sheetName val="Hu?ng_d?n"/>
      <sheetName val="Ví_d?_hàm_Vlookup"/>
      <sheetName val="DE_tu_van"/>
      <sheetName val="Income_Statement"/>
      <sheetName val="Shareholders'_Equity"/>
      <sheetName val="PTDG_(2)"/>
      <sheetName val="Chiettinh_dz0,4"/>
      <sheetName val="VL-NCf_35_KV"/>
      <sheetName val="Tien_lumng_MB-2"/>
      <sheetName val="Tien_lumng_MB-5"/>
      <sheetName val="Thep_dia"/>
      <sheetName val="THDT_DZ_010_kV"/>
      <sheetName val="CHITIET_VL_NC"/>
      <sheetName val="CT_-THVLNC"/>
      <sheetName val="Hoá_Ðon_NV"/>
      <sheetName val="gvl쉘ž॔ǥ쌄žOJ[DZ110K~1_XLS]THPD"/>
      <sheetName val="Hu_ng_d_n"/>
      <sheetName val="Ví_d__hàm_Vlookup"/>
      <sheetName val="Tien_luonc_LB-2"/>
      <sheetName val="Tien_luong_MB%4"/>
      <sheetName val="Tien_luong_LBK"/>
      <sheetName val="Tien_duong_MP-12"/>
      <sheetName val="gvl쉘ž॔ǥ"/>
      <sheetName val="DG_LANG_SON"/>
      <sheetName val="gvl????????????쉘ž???????॔ǥ????"/>
      <sheetName val="Tie~_luong_M4T-1"/>
      <sheetName val="gvl____________쉘ž_______॔ǥ____"/>
      <sheetName val="gvl쉘ž॔ǥ쌄žOJ[DZ110K~1_XLS"/>
      <sheetName val="Hý?ng_d?n"/>
      <sheetName val="Hoá_Ðõn_NV"/>
      <sheetName val="TONGE3p_"/>
      <sheetName val="CHITIE_VL-NC-T_-1p"/>
      <sheetName val="CHITIET_L-NC"/>
      <sheetName val="C"/>
      <sheetName val="KPC-BD_"/>
      <sheetName val="TH_DZ35"/>
      <sheetName val="kinh_phí_XD"/>
      <sheetName val="J[DZ110K~1_XLS]THPD"/>
      <sheetName val="????????????J[DZ110K~1_XLS]THPD"/>
      <sheetName val="gvl____________?_______?g____"/>
      <sheetName val="BK-C_T"/>
      <sheetName val="Phu_kiej_35_kV"/>
      <sheetName val="Ti%n_luong_L4T-2"/>
      <sheetName val="Tidn_luong_MB-2"/>
      <sheetName val="Tien_huong_MB-3"/>
      <sheetName val="Tien_luong_MP-02"/>
      <sheetName val="THPP_3"/>
      <sheetName val="DH,CDTHCN_1"/>
      <sheetName val="K_Tra_do_vkng_dan_hoi"/>
      <sheetName val="Tien_luong_L4T-2"/>
      <sheetName val="Tien_huong_MB-5"/>
      <sheetName val="DH,CD,DHCN_3"/>
      <sheetName val="Hý_ng_d_n"/>
      <sheetName val="DZ_35"/>
      <sheetName val="Phu_kien_1࠱0_kV"/>
      <sheetName val="NC_Dai_su_Phu_kien"/>
      <sheetName val="____________J_DZ110K~1_XLS_THPD"/>
      <sheetName val="gvl_____________________g____"/>
      <sheetName val="Balance_Sheet"/>
      <sheetName val="gvl?쉘ž??॔ǥ?쌄ž?O?J[DZ110K~1_XLS"/>
      <sheetName val="TNG_HOP_VL-NC_TT"/>
      <sheetName val="DM_tu_van_DZ_110_kV2"/>
      <sheetName val="DM_tu_van_DZ_35_kV2"/>
      <sheetName val="DM_tu_van2"/>
      <sheetName val="Don_gia2"/>
      <sheetName val="táng_hîp2"/>
      <sheetName val="THDT_DZ_110_kV2"/>
      <sheetName val="VL-NC-M_110_KV2"/>
      <sheetName val="Phu_kien_110_kV2"/>
      <sheetName val="NC_Day_su_Phu_kien2"/>
      <sheetName val="THDT_DZ_35_kV2"/>
      <sheetName val="VL-NC-M_35_KV2"/>
      <sheetName val="Phu_kien_35_kV2"/>
      <sheetName val="Tiep_dia2"/>
      <sheetName val="Tien_luong_M4T-12"/>
      <sheetName val="Tien_luong_M4T-22"/>
      <sheetName val="Tien_luong_M4T-32"/>
      <sheetName val="Tien_luong_MB-12"/>
      <sheetName val="Tien_luong_MB-22"/>
      <sheetName val="Tien_luong_MB-32"/>
      <sheetName val="Tien_luong_MB-42"/>
      <sheetName val="Tien_luong_MB-52"/>
      <sheetName val="Tien_luong_MBK2"/>
      <sheetName val="Gia_thanh_chuoi_su2"/>
      <sheetName val="Tien_luong_MB-62"/>
      <sheetName val="BK04"/>
      <sheetName val="_iathanh1"/>
      <sheetName val="MP_12"/>
      <sheetName val="gvl_쉘ž__x0004__॔ǥ_쌄ž_O_J_DZ110K~1.XLS"/>
      <sheetName val="Tien_luong_MP-122"/>
      <sheetName val="Truoc_thue)2"/>
      <sheetName val="Tong_hop_12"/>
      <sheetName val="Xay_lap2"/>
      <sheetName val="Chi_tiet12"/>
      <sheetName val="Chi_tiet3"/>
      <sheetName val="Bu_VL2"/>
      <sheetName val="THPDMoi__(2)1"/>
      <sheetName val="dongia_(2)1"/>
      <sheetName val="Sheet4"/>
      <sheetName val="Gia_GC_Satthep"/>
      <sheetName val="Dinh nghia"/>
      <sheetName val="KHAU TRU 6%"/>
      <sheetName val="TRUY LUONG 350000"/>
      <sheetName val="00000001"/>
      <sheetName val="T01"/>
      <sheetName val="T02"/>
      <sheetName val="T03"/>
    </sheetNames>
    <sheetDataSet>
      <sheetData sheetId="0"/>
      <sheetData sheetId="1"/>
      <sheetData sheetId="2"/>
      <sheetData sheetId="3" refreshError="1">
        <row r="3">
          <cell r="A3" t="str">
            <v>03.1112</v>
          </cell>
          <cell r="B3" t="str">
            <v>Ñaøo ñaát hoá theá saâu &gt;1m S ñaùy hoá £ 5 m 2  ñaát C2</v>
          </cell>
          <cell r="C3" t="str">
            <v>m 3</v>
          </cell>
          <cell r="D3">
            <v>0</v>
          </cell>
          <cell r="E3">
            <v>16776</v>
          </cell>
          <cell r="F3">
            <v>0</v>
          </cell>
          <cell r="G3" t="str">
            <v>03.1112</v>
          </cell>
        </row>
        <row r="4">
          <cell r="A4" t="str">
            <v>03.1113</v>
          </cell>
          <cell r="B4" t="str">
            <v>Ñaøo ñaát hoá theá saâu &gt;1m S ñaùy hoá £ 5 m 2  ñaát C3</v>
          </cell>
          <cell r="C4" t="str">
            <v>m 3</v>
          </cell>
          <cell r="D4" t="str">
            <v>Xi m¨ng TW   KV NghÜa Lé</v>
          </cell>
          <cell r="E4">
            <v>24428</v>
          </cell>
          <cell r="F4" t="str">
            <v xml:space="preserve">§¸ d¨m  1x2            </v>
          </cell>
          <cell r="G4" t="str">
            <v>03.1113</v>
          </cell>
        </row>
        <row r="5">
          <cell r="A5" t="str">
            <v>03.2203</v>
          </cell>
          <cell r="B5" t="str">
            <v>Laáp ñaát hoá theá</v>
          </cell>
          <cell r="C5" t="str">
            <v>m 3</v>
          </cell>
          <cell r="D5">
            <v>0</v>
          </cell>
          <cell r="E5">
            <v>10890</v>
          </cell>
          <cell r="F5">
            <v>0</v>
          </cell>
          <cell r="G5" t="str">
            <v>03.2203</v>
          </cell>
        </row>
        <row r="6">
          <cell r="A6" t="str">
            <v>03.1122</v>
          </cell>
          <cell r="B6" t="str">
            <v>Ñaøo moùng baèng TC ñaát C2  saâu £ 2 m dieän tích ñaùy moùng £ 15 m2</v>
          </cell>
          <cell r="C6" t="str">
            <v>m 3</v>
          </cell>
          <cell r="D6">
            <v>89429.123809523822</v>
          </cell>
          <cell r="E6">
            <v>11037</v>
          </cell>
          <cell r="F6">
            <v>0</v>
          </cell>
          <cell r="G6" t="str">
            <v>03.1122</v>
          </cell>
        </row>
        <row r="7">
          <cell r="A7" t="str">
            <v>03.1123</v>
          </cell>
          <cell r="B7" t="str">
            <v>Ñaøo moùng baèng TC ñaát C3  saâu £ 2 m dieän tích ñaùy moùng £ 15 m2</v>
          </cell>
          <cell r="C7" t="str">
            <v>m 3</v>
          </cell>
          <cell r="D7">
            <v>38</v>
          </cell>
          <cell r="E7">
            <v>16482</v>
          </cell>
          <cell r="F7">
            <v>0</v>
          </cell>
          <cell r="G7" t="str">
            <v>03.1123</v>
          </cell>
        </row>
        <row r="8">
          <cell r="A8" t="str">
            <v>03.1132</v>
          </cell>
          <cell r="B8" t="str">
            <v>Ñaøo moùng baèng TC ñaát C2  saâu £ 3 m dieän tích ñaùy moùng £ 15 m2</v>
          </cell>
          <cell r="C8" t="str">
            <v>m 3</v>
          </cell>
          <cell r="D8">
            <v>1670.4761904761904</v>
          </cell>
          <cell r="E8">
            <v>11773</v>
          </cell>
          <cell r="F8">
            <v>0</v>
          </cell>
          <cell r="G8" t="str">
            <v>03.1132</v>
          </cell>
        </row>
        <row r="9">
          <cell r="A9" t="str">
            <v>03.1133</v>
          </cell>
          <cell r="B9" t="str">
            <v>Ñaøo moùng baèng TC ñaát C3  saâu £ 3 m dieän tích ñaùy moùng £ 15 m2</v>
          </cell>
          <cell r="C9" t="str">
            <v>m 3</v>
          </cell>
          <cell r="D9">
            <v>1.3</v>
          </cell>
          <cell r="E9">
            <v>17659</v>
          </cell>
          <cell r="F9">
            <v>0</v>
          </cell>
          <cell r="G9" t="str">
            <v>03.1133</v>
          </cell>
        </row>
        <row r="10">
          <cell r="A10" t="str">
            <v>03.1152</v>
          </cell>
          <cell r="B10" t="str">
            <v>Ñaøo moùng baèng TC ñaát C2  saâu £ 2 m dieän tích ñaùy moùng £ 25 m2</v>
          </cell>
          <cell r="C10" t="str">
            <v>m 3</v>
          </cell>
          <cell r="D10">
            <v>1</v>
          </cell>
          <cell r="E10">
            <v>11478</v>
          </cell>
          <cell r="F10">
            <v>0</v>
          </cell>
          <cell r="G10" t="str">
            <v>03.1152</v>
          </cell>
        </row>
        <row r="11">
          <cell r="A11" t="str">
            <v>03.1153</v>
          </cell>
          <cell r="B11" t="str">
            <v>Ñaøo moùng baèng TC ñaát C3  saâu £ 2 m dieän tích ñaùy moùng £ 25 m2</v>
          </cell>
          <cell r="C11" t="str">
            <v>m 3</v>
          </cell>
          <cell r="D11">
            <v>0.2</v>
          </cell>
          <cell r="E11">
            <v>17365</v>
          </cell>
          <cell r="F11">
            <v>0</v>
          </cell>
          <cell r="G11" t="str">
            <v>03.1153</v>
          </cell>
        </row>
        <row r="12">
          <cell r="A12" t="str">
            <v>03.1162</v>
          </cell>
          <cell r="B12" t="str">
            <v>Ñaøo moùng baèng TC ñaát C2  saâu £ 3 m dieän tích ñaùy moùng £ 25 m2</v>
          </cell>
          <cell r="C12" t="str">
            <v>m 3</v>
          </cell>
          <cell r="D12">
            <v>34538</v>
          </cell>
          <cell r="E12">
            <v>12508</v>
          </cell>
          <cell r="F12">
            <v>0</v>
          </cell>
          <cell r="G12" t="str">
            <v>03.1162</v>
          </cell>
        </row>
        <row r="13">
          <cell r="A13" t="str">
            <v>03.1163</v>
          </cell>
          <cell r="B13" t="str">
            <v>Ñaøo moùng baèng TC ñaát C3  saâu £ 3 m dieän tích ñaùy moùng £ 25 m2</v>
          </cell>
          <cell r="C13" t="str">
            <v>m 3</v>
          </cell>
          <cell r="D13">
            <v>865522.27999999991</v>
          </cell>
          <cell r="E13">
            <v>18395</v>
          </cell>
          <cell r="F13">
            <v>0</v>
          </cell>
          <cell r="G13" t="str">
            <v>03.1163</v>
          </cell>
        </row>
        <row r="14">
          <cell r="A14" t="str">
            <v>03.1182</v>
          </cell>
          <cell r="B14" t="str">
            <v>Ñaøo moùng baèng TC ñaát C2  saâu £ 2 m dieän tích ñaùy moùng £ 35 m2</v>
          </cell>
          <cell r="C14" t="str">
            <v>m 3</v>
          </cell>
          <cell r="D14">
            <v>0.2</v>
          </cell>
          <cell r="E14">
            <v>12214</v>
          </cell>
          <cell r="F14">
            <v>0</v>
          </cell>
          <cell r="G14" t="str">
            <v>03.1182</v>
          </cell>
        </row>
        <row r="15">
          <cell r="A15" t="str">
            <v>03.1183</v>
          </cell>
          <cell r="B15" t="str">
            <v>Ñaøo moùng baèng TC ñaát C3  saâu £ 2 m dieän tích ñaùy moùng £ 35 m2</v>
          </cell>
          <cell r="C15" t="str">
            <v>m 3</v>
          </cell>
          <cell r="D15">
            <v>5.5600000000000005</v>
          </cell>
          <cell r="E15">
            <v>18100</v>
          </cell>
          <cell r="F15">
            <v>0</v>
          </cell>
          <cell r="G15" t="str">
            <v>03.1183</v>
          </cell>
        </row>
        <row r="16">
          <cell r="A16" t="str">
            <v>03.1192</v>
          </cell>
          <cell r="B16" t="str">
            <v>Ñaøo moùng baèng TC ñaát C2  saâu £ 3 m dieän tích ñaùy moùng £ 35 m2</v>
          </cell>
          <cell r="C16" t="str">
            <v>m 3</v>
          </cell>
          <cell r="D16">
            <v>0</v>
          </cell>
          <cell r="E16">
            <v>13097</v>
          </cell>
          <cell r="F16">
            <v>0</v>
          </cell>
          <cell r="G16" t="str">
            <v>03.1192</v>
          </cell>
        </row>
        <row r="17">
          <cell r="A17" t="str">
            <v>03.1193</v>
          </cell>
          <cell r="B17" t="str">
            <v>Ñaøo moùng baèng TC ñaát C3  saâu £ 3 m dieän tích ñaùy moùng £ 35 m2</v>
          </cell>
          <cell r="C17" t="str">
            <v>m 3</v>
          </cell>
          <cell r="D17">
            <v>0</v>
          </cell>
          <cell r="E17">
            <v>19425</v>
          </cell>
          <cell r="F17">
            <v>0</v>
          </cell>
          <cell r="G17" t="str">
            <v>03.1193</v>
          </cell>
        </row>
        <row r="18">
          <cell r="A18" t="str">
            <v>03.1212</v>
          </cell>
          <cell r="B18" t="str">
            <v>Ñaøo moùng baèng TC ñaát C2  saâu £ 2 m dieän tích ñaùy moùng £ 50 m2</v>
          </cell>
          <cell r="C18" t="str">
            <v>m 3</v>
          </cell>
          <cell r="D18">
            <v>5.5</v>
          </cell>
          <cell r="E18">
            <v>12803</v>
          </cell>
          <cell r="F18">
            <v>0</v>
          </cell>
          <cell r="G18" t="str">
            <v>03.1212</v>
          </cell>
        </row>
        <row r="19">
          <cell r="A19" t="str">
            <v>03.1213</v>
          </cell>
          <cell r="B19" t="str">
            <v>Ñaøo moùng baèng TC ñaát C3  saâu £ 2 m dieän tích ñaùy moùng £ 50 m2</v>
          </cell>
          <cell r="C19" t="str">
            <v>m 3</v>
          </cell>
          <cell r="D19">
            <v>4.5199999999999996</v>
          </cell>
          <cell r="E19">
            <v>19130</v>
          </cell>
          <cell r="F19">
            <v>0</v>
          </cell>
          <cell r="G19" t="str">
            <v>03.1213</v>
          </cell>
        </row>
        <row r="20">
          <cell r="A20" t="str">
            <v>03.1222</v>
          </cell>
          <cell r="B20" t="str">
            <v>Ñaøo moùng baèng TC ñaát C2  saâu £ 3 m dieän tích ñaùy moùng £ 50 m2</v>
          </cell>
          <cell r="C20" t="str">
            <v>m 3</v>
          </cell>
          <cell r="D20">
            <v>25.06</v>
          </cell>
          <cell r="E20">
            <v>13833</v>
          </cell>
          <cell r="F20">
            <v>0</v>
          </cell>
          <cell r="G20" t="str">
            <v>03.1222</v>
          </cell>
        </row>
        <row r="21">
          <cell r="A21" t="str">
            <v>03.1223</v>
          </cell>
          <cell r="B21" t="str">
            <v>Ñaøo moùng baèng TC ñaát C3  saâu £ 3 m dieän tích ñaùy moùng £ 50 m2</v>
          </cell>
          <cell r="C21" t="str">
            <v>m 3</v>
          </cell>
          <cell r="D21">
            <v>34538</v>
          </cell>
          <cell r="E21">
            <v>20455</v>
          </cell>
          <cell r="F21">
            <v>34538</v>
          </cell>
          <cell r="G21" t="str">
            <v>03.1223</v>
          </cell>
        </row>
        <row r="22">
          <cell r="A22" t="str">
            <v>03.1252</v>
          </cell>
          <cell r="B22" t="str">
            <v>Ñaøo moùng baèng TC ñaát C2  saâu £ 2 m dieän tích ñaùy moùng £ 75 m2</v>
          </cell>
          <cell r="C22" t="str">
            <v>m 3</v>
          </cell>
          <cell r="D22">
            <v>954951.40380952368</v>
          </cell>
          <cell r="E22">
            <v>13097</v>
          </cell>
          <cell r="F22">
            <v>0</v>
          </cell>
          <cell r="G22" t="str">
            <v>03.1252</v>
          </cell>
        </row>
        <row r="23">
          <cell r="A23" t="str">
            <v>03.1253</v>
          </cell>
          <cell r="B23" t="str">
            <v>Ñaøo moùng baèng TC ñaát C3  saâu £ 2 m dieän tích ñaùy moùng £ 75 m2</v>
          </cell>
          <cell r="C23" t="str">
            <v>m 3</v>
          </cell>
          <cell r="D23">
            <v>796000</v>
          </cell>
          <cell r="E23">
            <v>19572</v>
          </cell>
          <cell r="F23">
            <v>110000</v>
          </cell>
          <cell r="G23" t="str">
            <v>03.1253</v>
          </cell>
        </row>
        <row r="24">
          <cell r="A24" t="str">
            <v>03.1262</v>
          </cell>
          <cell r="B24" t="str">
            <v>Ñaøo moùng baèng TC ñaát C2  saâu £ 3 m dieän tích ñaùy moùng £ 75 m2</v>
          </cell>
          <cell r="C24" t="str">
            <v>m 3</v>
          </cell>
          <cell r="D24">
            <v>1750951.4038095237</v>
          </cell>
          <cell r="E24">
            <v>14127</v>
          </cell>
          <cell r="F24">
            <v>110000</v>
          </cell>
          <cell r="G24" t="str">
            <v>03.1262</v>
          </cell>
        </row>
        <row r="25">
          <cell r="A25" t="str">
            <v>03.1263</v>
          </cell>
          <cell r="B25" t="str">
            <v>Ñaøo moùng baèng TC ñaát C3  saâu £ 3 m dieän tích ñaùy moùng £ 75 m2</v>
          </cell>
          <cell r="C25" t="str">
            <v>m 3</v>
          </cell>
          <cell r="D25">
            <v>639000</v>
          </cell>
          <cell r="E25">
            <v>21043</v>
          </cell>
          <cell r="F25">
            <v>73000</v>
          </cell>
          <cell r="G25" t="str">
            <v>03.1263</v>
          </cell>
        </row>
        <row r="26">
          <cell r="A26" t="str">
            <v>03.1292</v>
          </cell>
          <cell r="B26" t="str">
            <v>Ñaøo moùng baèng TC ñaát C2  saâu £ 2 m dieän tích ñaùy moùng £ 100 m2</v>
          </cell>
          <cell r="C26" t="str">
            <v>m 3</v>
          </cell>
          <cell r="D26">
            <v>1111951.4038095237</v>
          </cell>
          <cell r="E26">
            <v>13391</v>
          </cell>
          <cell r="F26">
            <v>37000</v>
          </cell>
          <cell r="G26" t="str">
            <v>03.1292</v>
          </cell>
        </row>
        <row r="27">
          <cell r="A27" t="str">
            <v>03.1293</v>
          </cell>
          <cell r="B27" t="str">
            <v>Ñaøo moùng baèng TC ñaát C3  saâu £ 2 m dieän tích ñaùy moùng £ 100 m2</v>
          </cell>
          <cell r="C27" t="str">
            <v>m 3</v>
          </cell>
          <cell r="D27">
            <v>0</v>
          </cell>
          <cell r="E27">
            <v>20308</v>
          </cell>
          <cell r="F27">
            <v>0</v>
          </cell>
          <cell r="G27" t="str">
            <v>03.1293</v>
          </cell>
        </row>
        <row r="28">
          <cell r="A28" t="str">
            <v>03.1302</v>
          </cell>
          <cell r="B28" t="str">
            <v>Ñaøo moùng baèng TC ñaát C2  saâu £ 3 m dieän tích ñaùy moùng £ 100 m2</v>
          </cell>
          <cell r="C28" t="str">
            <v>m 3</v>
          </cell>
          <cell r="D28">
            <v>0</v>
          </cell>
          <cell r="E28">
            <v>14569</v>
          </cell>
          <cell r="F28">
            <v>0</v>
          </cell>
          <cell r="G28" t="str">
            <v>03.1302</v>
          </cell>
        </row>
        <row r="29">
          <cell r="A29" t="str">
            <v>03.1303</v>
          </cell>
          <cell r="B29" t="str">
            <v>Ñaøo moùng baèng TC ñaát C3  saâu £ 3 m dieän tích ñaùy moùng £ 100 m2</v>
          </cell>
          <cell r="C29" t="str">
            <v>m 3</v>
          </cell>
          <cell r="D29" t="str">
            <v>Xi m¨ng TW   KV NghÜa Lé</v>
          </cell>
          <cell r="E29">
            <v>21632</v>
          </cell>
          <cell r="F29" t="str">
            <v xml:space="preserve">§¸ d¨m  1x2            </v>
          </cell>
          <cell r="G29" t="str">
            <v>03.1303</v>
          </cell>
        </row>
        <row r="30">
          <cell r="A30" t="str">
            <v>03.1332</v>
          </cell>
          <cell r="B30" t="str">
            <v>Ñaøo moùng baèng TC ñaát C2  saâu £ 2 m dieän tích ñaùy moùng £ 150 m2</v>
          </cell>
          <cell r="C30" t="str">
            <v>m 3</v>
          </cell>
          <cell r="D30">
            <v>0</v>
          </cell>
          <cell r="E30">
            <v>14127</v>
          </cell>
          <cell r="F30">
            <v>0</v>
          </cell>
          <cell r="G30" t="str">
            <v>03.1332</v>
          </cell>
        </row>
        <row r="31">
          <cell r="A31" t="str">
            <v>03.1333</v>
          </cell>
          <cell r="B31" t="str">
            <v>Ñaøo moùng baèng TC ñaát C3  saâu £ 2 m dieän tích ñaùy moùng £ 150 m2</v>
          </cell>
          <cell r="C31" t="str">
            <v>m 3</v>
          </cell>
          <cell r="D31">
            <v>89429.123809523822</v>
          </cell>
          <cell r="E31">
            <v>21191</v>
          </cell>
          <cell r="F31">
            <v>0</v>
          </cell>
          <cell r="G31" t="str">
            <v>03.1333</v>
          </cell>
        </row>
        <row r="32">
          <cell r="A32" t="str">
            <v>03.1342</v>
          </cell>
          <cell r="B32" t="str">
            <v>Ñaøo moùng baèng TC ñaát C2  saâu £ 3 m dieän tích ñaùy moùng £ 150 m2</v>
          </cell>
          <cell r="C32" t="str">
            <v>m 3</v>
          </cell>
          <cell r="D32">
            <v>38</v>
          </cell>
          <cell r="E32">
            <v>15451</v>
          </cell>
          <cell r="F32">
            <v>0</v>
          </cell>
          <cell r="G32" t="str">
            <v>03.1342</v>
          </cell>
        </row>
        <row r="33">
          <cell r="A33" t="str">
            <v>03.1343</v>
          </cell>
          <cell r="B33" t="str">
            <v>Ñaøo moùng baèng TC ñaát C3  saâu £ 3 m dieän tích ñaùy moùng £ 150 m2</v>
          </cell>
          <cell r="C33" t="str">
            <v>m 3</v>
          </cell>
          <cell r="D33">
            <v>1670.4761904761904</v>
          </cell>
          <cell r="E33">
            <v>22809</v>
          </cell>
          <cell r="F33">
            <v>0</v>
          </cell>
          <cell r="G33" t="str">
            <v>03.1343</v>
          </cell>
        </row>
        <row r="34">
          <cell r="A34" t="str">
            <v>03.1352</v>
          </cell>
          <cell r="B34" t="str">
            <v>Ñaøo moùng baèng TC ñaát C2  saâu £ 4 m dieän tích ñaùy moùng £ 150 m2</v>
          </cell>
          <cell r="C34" t="str">
            <v>m 3</v>
          </cell>
          <cell r="D34">
            <v>1.3</v>
          </cell>
          <cell r="E34">
            <v>16629</v>
          </cell>
          <cell r="F34">
            <v>0</v>
          </cell>
          <cell r="G34" t="str">
            <v>03.1352</v>
          </cell>
        </row>
        <row r="35">
          <cell r="A35" t="str">
            <v>03.1353</v>
          </cell>
          <cell r="B35" t="str">
            <v>Ñaøo moùng baèng TC ñaát C3  saâu £ 4 m dieän tích ñaùy moùng £ 150 m2</v>
          </cell>
          <cell r="C35" t="str">
            <v>m 3</v>
          </cell>
          <cell r="D35">
            <v>1</v>
          </cell>
          <cell r="E35">
            <v>24134</v>
          </cell>
          <cell r="F35">
            <v>0</v>
          </cell>
          <cell r="G35" t="str">
            <v>03.1353</v>
          </cell>
        </row>
        <row r="36">
          <cell r="A36" t="str">
            <v>03.1372</v>
          </cell>
          <cell r="B36" t="str">
            <v>Ñaøo moùng baèng TC ñaát C2  saâu £ 2 m dieän tích ñaùy moùng £ 200 m2</v>
          </cell>
          <cell r="C36" t="str">
            <v>m 3</v>
          </cell>
          <cell r="D36">
            <v>0.2</v>
          </cell>
          <cell r="E36">
            <v>14716</v>
          </cell>
          <cell r="F36">
            <v>0</v>
          </cell>
          <cell r="G36" t="str">
            <v>03.1372</v>
          </cell>
        </row>
        <row r="37">
          <cell r="A37" t="str">
            <v>03.1373</v>
          </cell>
          <cell r="B37" t="str">
            <v>Ñaøo moùng baèng TC ñaát C3  saâu £ 2 m dieän tích ñaùy moùng £ 200 m2</v>
          </cell>
          <cell r="C37" t="str">
            <v>m 3</v>
          </cell>
          <cell r="D37">
            <v>34538</v>
          </cell>
          <cell r="E37">
            <v>22074</v>
          </cell>
          <cell r="F37">
            <v>0</v>
          </cell>
          <cell r="G37" t="str">
            <v>03.1373</v>
          </cell>
        </row>
        <row r="38">
          <cell r="A38" t="str">
            <v>03.1382</v>
          </cell>
          <cell r="B38" t="str">
            <v>Ñaøo moùng baèng TC ñaát C2  saâu £ 3 m dieän tích ñaùy moùng £ 200 m2</v>
          </cell>
          <cell r="C38" t="str">
            <v>m 3</v>
          </cell>
          <cell r="D38">
            <v>740632.87199999997</v>
          </cell>
          <cell r="E38">
            <v>16334</v>
          </cell>
          <cell r="F38">
            <v>0</v>
          </cell>
          <cell r="G38" t="str">
            <v>03.1382</v>
          </cell>
        </row>
        <row r="39">
          <cell r="A39" t="str">
            <v>03.1383</v>
          </cell>
          <cell r="B39" t="str">
            <v>Ñaøo moùng baèng TC ñaát C3  saâu £ 3 m dieän tích ñaùy moùng £ 200 m2</v>
          </cell>
          <cell r="C39" t="str">
            <v>m 3</v>
          </cell>
          <cell r="D39">
            <v>0.2</v>
          </cell>
          <cell r="E39">
            <v>23987</v>
          </cell>
          <cell r="F39">
            <v>0</v>
          </cell>
          <cell r="G39" t="str">
            <v>03.1383</v>
          </cell>
        </row>
        <row r="40">
          <cell r="A40" t="str">
            <v>03.1392</v>
          </cell>
          <cell r="B40" t="str">
            <v>Ñaøo moùng baèng TC ñaát C2  saâu £ 3 m dieän tích ñaùy moùng £ 200 m2</v>
          </cell>
          <cell r="C40" t="str">
            <v>m 3</v>
          </cell>
          <cell r="D40">
            <v>4.7</v>
          </cell>
          <cell r="E40">
            <v>17512</v>
          </cell>
          <cell r="F40">
            <v>0</v>
          </cell>
          <cell r="G40" t="str">
            <v>03.1392</v>
          </cell>
        </row>
        <row r="41">
          <cell r="A41" t="str">
            <v>03.1393</v>
          </cell>
          <cell r="B41" t="str">
            <v>Ñaøo moùng baèng TC ñaát C3  saâu £ 3 m dieän tích ñaùy moùng £ 200 m2</v>
          </cell>
          <cell r="C41" t="str">
            <v>m 3</v>
          </cell>
          <cell r="D41">
            <v>0</v>
          </cell>
          <cell r="E41">
            <v>25311</v>
          </cell>
          <cell r="F41">
            <v>0</v>
          </cell>
          <cell r="G41" t="str">
            <v>03.1393</v>
          </cell>
        </row>
        <row r="42">
          <cell r="A42" t="str">
            <v>03.1422</v>
          </cell>
          <cell r="B42" t="str">
            <v>Ñaøo moùng baèng TC ñaát C2  saâu £ 2 m dieän tích ñaùy moùng &gt; 200 m2</v>
          </cell>
          <cell r="C42" t="str">
            <v>m 3</v>
          </cell>
          <cell r="D42">
            <v>0</v>
          </cell>
          <cell r="E42">
            <v>16187</v>
          </cell>
          <cell r="F42">
            <v>0</v>
          </cell>
          <cell r="G42" t="str">
            <v>03.1422</v>
          </cell>
        </row>
        <row r="43">
          <cell r="A43" t="str">
            <v>03.1423</v>
          </cell>
          <cell r="B43" t="str">
            <v>Ñaøo moùng baèng TC ñaát C3  saâu £ 2 m dieän tích ñaùy moùng &gt; 200 m2</v>
          </cell>
          <cell r="C43" t="str">
            <v>m 3</v>
          </cell>
          <cell r="D43">
            <v>4.7</v>
          </cell>
          <cell r="E43">
            <v>24281</v>
          </cell>
          <cell r="F43">
            <v>0</v>
          </cell>
          <cell r="G43" t="str">
            <v>03.1423</v>
          </cell>
        </row>
        <row r="44">
          <cell r="A44" t="str">
            <v>03.1432</v>
          </cell>
          <cell r="B44" t="str">
            <v>Ñaøo moùng baèng TC ñaát C2  saâu £ 3 m dieän tích ñaùy moùng &gt; 200 m2</v>
          </cell>
          <cell r="C44" t="str">
            <v>m 3</v>
          </cell>
          <cell r="D44">
            <v>4.5199999999999996</v>
          </cell>
          <cell r="E44">
            <v>17217</v>
          </cell>
          <cell r="F44">
            <v>0</v>
          </cell>
          <cell r="G44" t="str">
            <v>03.1432</v>
          </cell>
        </row>
        <row r="45">
          <cell r="A45" t="str">
            <v>03.1433</v>
          </cell>
          <cell r="B45" t="str">
            <v>Ñaøo moùng baèng TC ñaát C3  saâu £ 3 m dieän tích ñaùy moùng &gt; 200 m2</v>
          </cell>
          <cell r="C45" t="str">
            <v>m 3</v>
          </cell>
          <cell r="D45">
            <v>21.443999999999999</v>
          </cell>
          <cell r="E45">
            <v>25458</v>
          </cell>
          <cell r="F45">
            <v>0</v>
          </cell>
          <cell r="G45" t="str">
            <v>03.1433</v>
          </cell>
        </row>
        <row r="46">
          <cell r="A46" t="str">
            <v>03.1442</v>
          </cell>
          <cell r="B46" t="str">
            <v>Ñaøo moùng baèng TC ñaát C2  saâu £ 3 m dieän tích ñaùy moùng &gt; 200 m2</v>
          </cell>
          <cell r="C46" t="str">
            <v>m 3</v>
          </cell>
          <cell r="D46">
            <v>34538</v>
          </cell>
          <cell r="E46">
            <v>18836</v>
          </cell>
          <cell r="F46">
            <v>0</v>
          </cell>
          <cell r="G46" t="str">
            <v>03.1442</v>
          </cell>
        </row>
        <row r="47">
          <cell r="A47" t="str">
            <v>03.1443</v>
          </cell>
          <cell r="B47" t="str">
            <v>Ñaøo moùng baèng TC ñaát C3  saâu £ 3 m dieän tích ñaùy moùng &gt; 200 m2</v>
          </cell>
          <cell r="C47" t="str">
            <v>m 3</v>
          </cell>
          <cell r="D47">
            <v>830061.99580952385</v>
          </cell>
          <cell r="E47">
            <v>27960</v>
          </cell>
          <cell r="F47">
            <v>0</v>
          </cell>
          <cell r="G47" t="str">
            <v>03.1443</v>
          </cell>
        </row>
        <row r="48">
          <cell r="A48" t="str">
            <v>03.2202</v>
          </cell>
          <cell r="B48" t="str">
            <v>Laáp hoá moùng + chaân truï C2</v>
          </cell>
          <cell r="C48" t="str">
            <v>m 3</v>
          </cell>
          <cell r="D48">
            <v>796000</v>
          </cell>
          <cell r="E48">
            <v>9712</v>
          </cell>
          <cell r="F48">
            <v>110000</v>
          </cell>
          <cell r="G48" t="str">
            <v>03.2202</v>
          </cell>
        </row>
        <row r="49">
          <cell r="A49" t="str">
            <v>03.2203</v>
          </cell>
          <cell r="B49" t="str">
            <v>Laáp hoá moùng + chaân truï C3</v>
          </cell>
          <cell r="C49" t="str">
            <v>m 3</v>
          </cell>
          <cell r="D49">
            <v>1626061.9958095239</v>
          </cell>
          <cell r="E49">
            <v>10890</v>
          </cell>
          <cell r="F49">
            <v>110000</v>
          </cell>
          <cell r="G49" t="str">
            <v>03.2203</v>
          </cell>
        </row>
        <row r="50">
          <cell r="A50" t="str">
            <v>03.3102</v>
          </cell>
          <cell r="B50" t="str">
            <v>Ñaøo ñaát raõnh tieáp ñòa ñaát C2</v>
          </cell>
          <cell r="C50" t="str">
            <v>m 3</v>
          </cell>
          <cell r="D50">
            <v>639000</v>
          </cell>
          <cell r="E50">
            <v>14716</v>
          </cell>
          <cell r="F50">
            <v>73000</v>
          </cell>
          <cell r="G50" t="str">
            <v>03.3102</v>
          </cell>
        </row>
        <row r="51">
          <cell r="A51" t="str">
            <v>03.3103</v>
          </cell>
          <cell r="B51" t="str">
            <v>Ñaøo ñaát raõnh tieáp ñòa ñaát C3</v>
          </cell>
          <cell r="C51" t="str">
            <v>m 3</v>
          </cell>
          <cell r="D51">
            <v>987061.99580952385</v>
          </cell>
          <cell r="E51">
            <v>21926</v>
          </cell>
          <cell r="F51">
            <v>37000</v>
          </cell>
          <cell r="G51" t="str">
            <v>03.3103</v>
          </cell>
        </row>
        <row r="52">
          <cell r="A52" t="str">
            <v>03.3202</v>
          </cell>
          <cell r="B52" t="str">
            <v>Laáp ñaát raõnh tieáp ñòa ñaát C2</v>
          </cell>
          <cell r="C52" t="str">
            <v>m 3</v>
          </cell>
          <cell r="D52">
            <v>0</v>
          </cell>
          <cell r="E52">
            <v>8682</v>
          </cell>
          <cell r="F52">
            <v>0</v>
          </cell>
          <cell r="G52" t="str">
            <v>03.3202</v>
          </cell>
        </row>
        <row r="53">
          <cell r="A53" t="str">
            <v>03.3203</v>
          </cell>
          <cell r="B53" t="str">
            <v>Laáp ñaát raõnh tieáp ñòa ñaát C3</v>
          </cell>
          <cell r="C53" t="str">
            <v>m 3</v>
          </cell>
          <cell r="D53">
            <v>0</v>
          </cell>
          <cell r="E53">
            <v>10007</v>
          </cell>
          <cell r="F53">
            <v>0</v>
          </cell>
          <cell r="G53" t="str">
            <v>03.3203</v>
          </cell>
        </row>
        <row r="54">
          <cell r="A54" t="str">
            <v>03.4001</v>
          </cell>
          <cell r="B54" t="str">
            <v>Ñaép bôø bao ñoä saâu buøn nöôùc £ 30cm</v>
          </cell>
          <cell r="C54" t="str">
            <v>m</v>
          </cell>
          <cell r="D54">
            <v>0</v>
          </cell>
          <cell r="E54">
            <v>5592</v>
          </cell>
          <cell r="F54">
            <v>0</v>
          </cell>
          <cell r="G54" t="str">
            <v>03.4001</v>
          </cell>
        </row>
        <row r="55">
          <cell r="A55" t="str">
            <v>03.4002</v>
          </cell>
          <cell r="B55" t="str">
            <v>Ñaép bôø bao ñoä saâu buøn nöôùc £ 50cm</v>
          </cell>
          <cell r="C55" t="str">
            <v>m</v>
          </cell>
          <cell r="D55">
            <v>22400</v>
          </cell>
          <cell r="E55">
            <v>8241</v>
          </cell>
          <cell r="F55">
            <v>0</v>
          </cell>
          <cell r="G55" t="str">
            <v>03.4002</v>
          </cell>
        </row>
        <row r="56">
          <cell r="A56" t="str">
            <v>03.4003</v>
          </cell>
          <cell r="B56" t="str">
            <v>Ñaép bôø bao ñoä saâu buøn nöôùc £ 80cm</v>
          </cell>
          <cell r="C56" t="str">
            <v>m</v>
          </cell>
          <cell r="D56">
            <v>35000</v>
          </cell>
          <cell r="E56">
            <v>12655</v>
          </cell>
          <cell r="F56">
            <v>0</v>
          </cell>
          <cell r="G56" t="str">
            <v>03.4003</v>
          </cell>
        </row>
        <row r="57">
          <cell r="A57" t="str">
            <v>03.4004</v>
          </cell>
          <cell r="B57" t="str">
            <v>Ñaép bôø bao ñoä saâu buøn nöôùc £ 100cm</v>
          </cell>
          <cell r="C57" t="str">
            <v>m</v>
          </cell>
          <cell r="D57">
            <v>42000</v>
          </cell>
          <cell r="E57">
            <v>16187</v>
          </cell>
          <cell r="F57">
            <v>0</v>
          </cell>
          <cell r="G57" t="str">
            <v>03.4004</v>
          </cell>
        </row>
        <row r="58">
          <cell r="A58" t="str">
            <v>03.5100</v>
          </cell>
          <cell r="B58" t="str">
            <v xml:space="preserve">Bôm taùt nöôùc baèng thuû coâng </v>
          </cell>
          <cell r="C58" t="str">
            <v>m 3</v>
          </cell>
          <cell r="D58">
            <v>0</v>
          </cell>
          <cell r="E58">
            <v>0</v>
          </cell>
          <cell r="F58">
            <v>0</v>
          </cell>
          <cell r="G58" t="str">
            <v>03.5100</v>
          </cell>
        </row>
        <row r="59">
          <cell r="A59" t="str">
            <v>03.5200</v>
          </cell>
          <cell r="B59" t="str">
            <v>Bôm taùt nöôùc baèng maùy</v>
          </cell>
          <cell r="C59" t="str">
            <v>m 3</v>
          </cell>
          <cell r="D59">
            <v>0</v>
          </cell>
          <cell r="E59">
            <v>0</v>
          </cell>
          <cell r="F59">
            <v>0</v>
          </cell>
          <cell r="G59" t="str">
            <v>03.5200</v>
          </cell>
        </row>
        <row r="60">
          <cell r="A60" t="str">
            <v>03.7001</v>
          </cell>
          <cell r="B60" t="str">
            <v>Ñaép caùt coâng trình</v>
          </cell>
          <cell r="C60" t="str">
            <v>m 3</v>
          </cell>
          <cell r="D60">
            <v>27750</v>
          </cell>
          <cell r="E60">
            <v>9124</v>
          </cell>
          <cell r="F60">
            <v>0</v>
          </cell>
          <cell r="G60" t="str">
            <v>03.7001</v>
          </cell>
        </row>
        <row r="61">
          <cell r="A61" t="str">
            <v>04.1101</v>
          </cell>
          <cell r="B61" t="str">
            <v>SX laép döïng coát theùp £ F10</v>
          </cell>
          <cell r="C61" t="str">
            <v>kg</v>
          </cell>
          <cell r="D61">
            <v>4267.6769999999997</v>
          </cell>
          <cell r="E61">
            <v>201.59299999999999</v>
          </cell>
          <cell r="F61">
            <v>16.917999999999999</v>
          </cell>
          <cell r="G61" t="str">
            <v>04.1101</v>
          </cell>
        </row>
        <row r="62">
          <cell r="A62" t="str">
            <v>04.1102</v>
          </cell>
          <cell r="B62" t="str">
            <v>SX laép döïng coát theùp £ F18</v>
          </cell>
          <cell r="C62" t="str">
            <v>kg</v>
          </cell>
          <cell r="D62">
            <v>4316.2070000000003</v>
          </cell>
          <cell r="E62">
            <v>148.48500000000001</v>
          </cell>
          <cell r="F62">
            <v>187.36099999999999</v>
          </cell>
          <cell r="G62" t="str">
            <v>04.1102</v>
          </cell>
        </row>
        <row r="63">
          <cell r="A63" t="str">
            <v>04.1103</v>
          </cell>
          <cell r="B63" t="str">
            <v>SX laép döïng coát theùp &gt; F18</v>
          </cell>
          <cell r="C63" t="str">
            <v>kg</v>
          </cell>
          <cell r="D63">
            <v>4322.2129999999997</v>
          </cell>
          <cell r="E63">
            <v>113.02800000000001</v>
          </cell>
          <cell r="F63">
            <v>203.874</v>
          </cell>
          <cell r="G63" t="str">
            <v>04.1103</v>
          </cell>
        </row>
        <row r="64">
          <cell r="A64" t="str">
            <v>04.2002</v>
          </cell>
          <cell r="B64" t="str">
            <v>Vaùn khuoân</v>
          </cell>
          <cell r="C64" t="str">
            <v>m2</v>
          </cell>
          <cell r="D64">
            <v>19977.759999999998</v>
          </cell>
          <cell r="E64">
            <v>5702.46</v>
          </cell>
          <cell r="F64">
            <v>0</v>
          </cell>
          <cell r="G64" t="str">
            <v>04.2002</v>
          </cell>
        </row>
        <row r="65">
          <cell r="A65" t="str">
            <v>04.3210</v>
          </cell>
          <cell r="B65" t="str">
            <v>Beâ toâng loùt M#100 ñaù 4x6</v>
          </cell>
          <cell r="C65" t="str">
            <v>m 3</v>
          </cell>
          <cell r="D65">
            <v>263424</v>
          </cell>
          <cell r="E65">
            <v>39732</v>
          </cell>
          <cell r="F65">
            <v>0</v>
          </cell>
          <cell r="G65" t="str">
            <v>04.3210</v>
          </cell>
        </row>
        <row r="66">
          <cell r="A66" t="str">
            <v>04.3210</v>
          </cell>
          <cell r="B66" t="str">
            <v>Beâ toâng loùt M#150 ñaù 4x6</v>
          </cell>
          <cell r="C66" t="str">
            <v>m 3</v>
          </cell>
          <cell r="D66">
            <v>306285</v>
          </cell>
          <cell r="E66">
            <v>39732</v>
          </cell>
          <cell r="F66">
            <v>0</v>
          </cell>
          <cell r="G66" t="str">
            <v>04.3210</v>
          </cell>
        </row>
        <row r="67">
          <cell r="A67" t="str">
            <v>04.3333</v>
          </cell>
          <cell r="B67" t="str">
            <v>BT moùng truï coù caàu coâng taùc M#200 ñaù 2x4 (TC keát hôïp ñaàm duøi)</v>
          </cell>
          <cell r="C67" t="str">
            <v>m 3</v>
          </cell>
          <cell r="D67">
            <v>389539</v>
          </cell>
          <cell r="E67">
            <v>44589</v>
          </cell>
          <cell r="F67">
            <v>4003</v>
          </cell>
          <cell r="G67" t="str">
            <v>04.3333</v>
          </cell>
        </row>
        <row r="68">
          <cell r="A68" t="str">
            <v>04.3334</v>
          </cell>
          <cell r="B68" t="str">
            <v>BT moùng truï coù caàu coâng taùc M#250 ñaù 2x4 (TC keát hôïp ñaàm duøi)</v>
          </cell>
          <cell r="C68" t="str">
            <v>m 3</v>
          </cell>
          <cell r="D68">
            <v>436341</v>
          </cell>
          <cell r="E68">
            <v>44589</v>
          </cell>
          <cell r="F68">
            <v>4003</v>
          </cell>
          <cell r="G68" t="str">
            <v>04.3334</v>
          </cell>
        </row>
        <row r="69">
          <cell r="A69" t="str">
            <v>04.3343</v>
          </cell>
          <cell r="B69" t="str">
            <v>BT moùng truï khoâng coù caàu coâng taùc M#200 ñaù 2x4 (TC keát hôïp ñaàm duøi)</v>
          </cell>
          <cell r="C69" t="str">
            <v>m 3</v>
          </cell>
          <cell r="D69">
            <v>368838</v>
          </cell>
          <cell r="E69">
            <v>38261</v>
          </cell>
          <cell r="F69">
            <v>4003</v>
          </cell>
          <cell r="G69" t="str">
            <v>04.3343</v>
          </cell>
        </row>
        <row r="70">
          <cell r="A70" t="str">
            <v>04.3344</v>
          </cell>
          <cell r="B70" t="str">
            <v>BT moùng truï khoâng coù caàu coâng taùc M#250 ñaù 2x4 (TC keát hôïp ñaàm duøi)</v>
          </cell>
          <cell r="C70" t="str">
            <v>m 3</v>
          </cell>
          <cell r="D70">
            <v>415640</v>
          </cell>
          <cell r="E70">
            <v>38261</v>
          </cell>
          <cell r="F70">
            <v>4003</v>
          </cell>
          <cell r="G70" t="str">
            <v>04.3344</v>
          </cell>
        </row>
        <row r="71">
          <cell r="A71" t="str">
            <v>04.3353</v>
          </cell>
          <cell r="B71" t="str">
            <v>BT moùng baûnï coù caàu coâng taùc M#200 ñaù 2x4 (TC keát hôïp ñaàm duøi)</v>
          </cell>
          <cell r="C71" t="str">
            <v>m 3</v>
          </cell>
          <cell r="D71">
            <v>389539</v>
          </cell>
          <cell r="E71">
            <v>41498</v>
          </cell>
          <cell r="F71">
            <v>4003</v>
          </cell>
          <cell r="G71" t="str">
            <v>04.3353</v>
          </cell>
        </row>
        <row r="72">
          <cell r="A72" t="str">
            <v>04.3354</v>
          </cell>
          <cell r="B72" t="str">
            <v>BT moùng baûnï coù caàu coâng taùc M#250 ñaù 2x4 (TC keát hôïp ñaàm duøi)</v>
          </cell>
          <cell r="C72" t="str">
            <v>m 3</v>
          </cell>
          <cell r="D72">
            <v>436341</v>
          </cell>
          <cell r="E72">
            <v>41498</v>
          </cell>
          <cell r="F72">
            <v>4003</v>
          </cell>
          <cell r="G72" t="str">
            <v>04.3354</v>
          </cell>
        </row>
        <row r="73">
          <cell r="A73" t="str">
            <v>04.3801</v>
          </cell>
          <cell r="B73" t="str">
            <v>Laép ñaët moùng neùo troïng löôïng £ 0,25T</v>
          </cell>
          <cell r="C73" t="str">
            <v>caùi</v>
          </cell>
          <cell r="D73">
            <v>4.4000000000000004</v>
          </cell>
          <cell r="E73">
            <v>11051</v>
          </cell>
          <cell r="F73">
            <v>0.15</v>
          </cell>
          <cell r="G73" t="str">
            <v>04.3801</v>
          </cell>
        </row>
        <row r="74">
          <cell r="A74" t="str">
            <v>04.3802</v>
          </cell>
          <cell r="B74" t="str">
            <v>Laép ñaët moùng neùo troïng löôïng £ 0,5T</v>
          </cell>
          <cell r="C74" t="str">
            <v>caùi</v>
          </cell>
          <cell r="D74">
            <v>0</v>
          </cell>
          <cell r="E74">
            <v>24214</v>
          </cell>
          <cell r="F74">
            <v>0</v>
          </cell>
          <cell r="G74" t="str">
            <v>04.3802</v>
          </cell>
        </row>
        <row r="75">
          <cell r="A75" t="str">
            <v>04.3803</v>
          </cell>
          <cell r="B75" t="str">
            <v>Laép ñaët moùng neùo troïng löôïng &gt; 0,5T</v>
          </cell>
          <cell r="C75" t="str">
            <v>caùi</v>
          </cell>
          <cell r="D75">
            <v>0</v>
          </cell>
          <cell r="E75">
            <v>42252</v>
          </cell>
          <cell r="F75">
            <v>0</v>
          </cell>
          <cell r="G75" t="str">
            <v>04.3803</v>
          </cell>
        </row>
        <row r="76">
          <cell r="A76" t="str">
            <v>05.4101</v>
          </cell>
          <cell r="B76" t="str">
            <v>Laép ñaët coät theùp baèng thuû coâng (chieáu cao £15m)</v>
          </cell>
          <cell r="C76" t="str">
            <v>taán</v>
          </cell>
          <cell r="D76">
            <v>4516</v>
          </cell>
          <cell r="E76">
            <v>183473</v>
          </cell>
          <cell r="F76">
            <v>0.15</v>
          </cell>
          <cell r="G76" t="str">
            <v>05.4101</v>
          </cell>
        </row>
        <row r="77">
          <cell r="A77" t="str">
            <v>05.4201</v>
          </cell>
          <cell r="B77" t="str">
            <v>Laép ñaët coät theùp baèng thuû coâng (chieáu cao £25m)</v>
          </cell>
          <cell r="C77" t="str">
            <v>taán</v>
          </cell>
          <cell r="D77">
            <v>9686</v>
          </cell>
          <cell r="E77">
            <v>201837</v>
          </cell>
          <cell r="F77">
            <v>4.5999999999999996</v>
          </cell>
          <cell r="G77" t="str">
            <v>05.4201</v>
          </cell>
        </row>
        <row r="78">
          <cell r="A78" t="str">
            <v>05.4301</v>
          </cell>
          <cell r="B78" t="str">
            <v>Laép ñaët coät theùp baèng thuû coâng (chieáu cao £40m)</v>
          </cell>
          <cell r="C78" t="str">
            <v>taán</v>
          </cell>
          <cell r="D78">
            <v>10330</v>
          </cell>
          <cell r="E78">
            <v>232064</v>
          </cell>
          <cell r="F78">
            <v>0.89999999999999991</v>
          </cell>
          <cell r="G78" t="str">
            <v>05.4301</v>
          </cell>
        </row>
        <row r="79">
          <cell r="A79" t="str">
            <v>05.4401</v>
          </cell>
          <cell r="B79" t="str">
            <v>Laép ñaët coät theùp baèng thuû coâng (chieáu cao £55m)</v>
          </cell>
          <cell r="C79" t="str">
            <v>taán</v>
          </cell>
          <cell r="D79">
            <v>12271</v>
          </cell>
          <cell r="E79">
            <v>266841</v>
          </cell>
          <cell r="F79">
            <v>34538</v>
          </cell>
          <cell r="G79" t="str">
            <v>05.4401</v>
          </cell>
        </row>
        <row r="80">
          <cell r="A80" t="str">
            <v>05.4501</v>
          </cell>
          <cell r="B80" t="str">
            <v>Laép ñaët coät theùp baèng thuû coâng (chieáu cao £70m)</v>
          </cell>
          <cell r="C80" t="str">
            <v>taán</v>
          </cell>
          <cell r="D80">
            <v>12915</v>
          </cell>
          <cell r="E80">
            <v>307143</v>
          </cell>
          <cell r="F80">
            <v>31084.199999999997</v>
          </cell>
          <cell r="G80" t="str">
            <v>05.4501</v>
          </cell>
        </row>
        <row r="81">
          <cell r="A81" t="str">
            <v>05.4601</v>
          </cell>
          <cell r="B81" t="str">
            <v>Laép ñaët coät theùp baèng thuû coâng (chieáu cao £85m)</v>
          </cell>
          <cell r="C81" t="str">
            <v>taán</v>
          </cell>
          <cell r="D81">
            <v>13558</v>
          </cell>
          <cell r="E81">
            <v>352808</v>
          </cell>
          <cell r="F81">
            <v>110000</v>
          </cell>
          <cell r="G81" t="str">
            <v>05.4601</v>
          </cell>
        </row>
        <row r="82">
          <cell r="A82" t="str">
            <v>05.4701</v>
          </cell>
          <cell r="B82" t="str">
            <v>Laép ñaët coät theùp baèng thuû coâng (chieáu cao £100m)</v>
          </cell>
          <cell r="C82" t="str">
            <v>taán</v>
          </cell>
          <cell r="D82">
            <v>13558</v>
          </cell>
          <cell r="E82">
            <v>405786</v>
          </cell>
          <cell r="F82">
            <v>141084.20000000001</v>
          </cell>
          <cell r="G82" t="str">
            <v>05.4701</v>
          </cell>
        </row>
        <row r="83">
          <cell r="A83" t="str">
            <v>05.5101</v>
          </cell>
          <cell r="B83" t="str">
            <v>Noái coät beâ toâng baèng maët bích (ÑH bình thöôøng)</v>
          </cell>
          <cell r="C83" t="str">
            <v>moái</v>
          </cell>
          <cell r="D83">
            <v>5407</v>
          </cell>
          <cell r="E83">
            <v>48753</v>
          </cell>
          <cell r="F83">
            <v>73000</v>
          </cell>
          <cell r="G83" t="str">
            <v>05.5101</v>
          </cell>
        </row>
        <row r="84">
          <cell r="A84" t="str">
            <v>05.5102</v>
          </cell>
          <cell r="B84" t="str">
            <v>Noái coät beâ toâng baèng maët bích (ÑH söôøn ñoài)</v>
          </cell>
          <cell r="C84" t="str">
            <v>moái</v>
          </cell>
          <cell r="D84">
            <v>5407</v>
          </cell>
          <cell r="E84">
            <v>51190</v>
          </cell>
          <cell r="F84">
            <v>68084.200000000012</v>
          </cell>
          <cell r="G84" t="str">
            <v>05.5102</v>
          </cell>
        </row>
        <row r="85">
          <cell r="A85" t="str">
            <v>05.5103</v>
          </cell>
          <cell r="B85" t="str">
            <v>Noái coät beâ toâng baèng maët bích (ÑH sình laày)</v>
          </cell>
          <cell r="C85" t="str">
            <v>moái</v>
          </cell>
          <cell r="D85">
            <v>13755</v>
          </cell>
          <cell r="E85">
            <v>58503</v>
          </cell>
          <cell r="F85">
            <v>0</v>
          </cell>
          <cell r="G85" t="str">
            <v>05.5103</v>
          </cell>
        </row>
        <row r="86">
          <cell r="A86" t="str">
            <v>05.5211</v>
          </cell>
          <cell r="B86" t="str">
            <v>Döïng coät beâ toâng baèng thuû coâng (chieáu cao £ 8m)</v>
          </cell>
          <cell r="C86" t="str">
            <v>coät</v>
          </cell>
          <cell r="D86">
            <v>8490</v>
          </cell>
          <cell r="E86">
            <v>74917</v>
          </cell>
          <cell r="F86">
            <v>0</v>
          </cell>
          <cell r="G86" t="str">
            <v>05.5211</v>
          </cell>
        </row>
        <row r="87">
          <cell r="A87" t="str">
            <v>05.5212</v>
          </cell>
          <cell r="B87" t="str">
            <v>Döïng coät beâ toâng baèng thuû coâng (chieáu cao £ 10m)</v>
          </cell>
          <cell r="C87" t="str">
            <v>coät</v>
          </cell>
          <cell r="D87">
            <v>8490</v>
          </cell>
          <cell r="E87">
            <v>80605</v>
          </cell>
          <cell r="F87">
            <v>0</v>
          </cell>
          <cell r="G87" t="str">
            <v>05.5212</v>
          </cell>
        </row>
        <row r="88">
          <cell r="A88" t="str">
            <v>05.5213</v>
          </cell>
          <cell r="B88" t="str">
            <v>Döïng coät beâ toâng baèng thuû coâng (chieáu cao £ 12m)</v>
          </cell>
          <cell r="C88" t="str">
            <v>coät</v>
          </cell>
          <cell r="D88">
            <v>8490</v>
          </cell>
          <cell r="E88">
            <v>86293</v>
          </cell>
          <cell r="F88" t="str">
            <v>§¸ d¨m  1x2            ®Ëp thñ c«ng    t¹i chç</v>
          </cell>
          <cell r="G88" t="str">
            <v>05.5213</v>
          </cell>
        </row>
        <row r="89">
          <cell r="A89" t="str">
            <v>05.5214</v>
          </cell>
          <cell r="B89" t="str">
            <v>Döïng coät beâ toâng baèng thuû coâng (chieáu cao £ 14m)</v>
          </cell>
          <cell r="C89" t="str">
            <v>coät</v>
          </cell>
          <cell r="D89">
            <v>8490</v>
          </cell>
          <cell r="E89">
            <v>107419</v>
          </cell>
          <cell r="F89">
            <v>0</v>
          </cell>
          <cell r="G89" t="str">
            <v>05.5214</v>
          </cell>
        </row>
        <row r="90">
          <cell r="A90" t="str">
            <v>05.5215</v>
          </cell>
          <cell r="B90" t="str">
            <v>Döïng coät beâ toâng baèng thuû coâng (chieáu cao £ 16m)</v>
          </cell>
          <cell r="C90" t="str">
            <v>coät</v>
          </cell>
          <cell r="D90">
            <v>9854</v>
          </cell>
          <cell r="E90">
            <v>116844</v>
          </cell>
          <cell r="F90">
            <v>0</v>
          </cell>
          <cell r="G90" t="str">
            <v>05.5215</v>
          </cell>
        </row>
        <row r="91">
          <cell r="A91" t="str">
            <v>05.5216</v>
          </cell>
          <cell r="B91" t="str">
            <v>Döïng coät beâ toâng baèng thuû coâng (chieáu cao £ 18m)</v>
          </cell>
          <cell r="C91" t="str">
            <v>coät</v>
          </cell>
          <cell r="D91">
            <v>9854</v>
          </cell>
          <cell r="E91">
            <v>152271</v>
          </cell>
          <cell r="F91">
            <v>0</v>
          </cell>
          <cell r="G91" t="str">
            <v>05.5216</v>
          </cell>
        </row>
        <row r="92">
          <cell r="A92" t="str">
            <v>05.5217</v>
          </cell>
          <cell r="B92" t="str">
            <v>Döïng coät beâ toâng baèng thuû coâng (chieáu cao £ 20m)</v>
          </cell>
          <cell r="C92" t="str">
            <v>coät</v>
          </cell>
          <cell r="D92">
            <v>9854</v>
          </cell>
          <cell r="E92">
            <v>177460</v>
          </cell>
          <cell r="F92">
            <v>0</v>
          </cell>
          <cell r="G92" t="str">
            <v>05.5217</v>
          </cell>
        </row>
        <row r="93">
          <cell r="A93" t="str">
            <v>05.5218</v>
          </cell>
          <cell r="B93" t="str">
            <v>Döïng coät beâ toâng baèng thuû coâng (chieáu cao &gt; 20m)</v>
          </cell>
          <cell r="C93" t="str">
            <v>coät</v>
          </cell>
          <cell r="D93">
            <v>9854</v>
          </cell>
          <cell r="E93">
            <v>193711</v>
          </cell>
          <cell r="F93">
            <v>0</v>
          </cell>
          <cell r="G93" t="str">
            <v>05.5218</v>
          </cell>
        </row>
        <row r="94">
          <cell r="A94" t="str">
            <v>05.6011</v>
          </cell>
          <cell r="B94" t="str">
            <v>Laép ñaët xaø theùp cho coät ñôõ (troïng löôïng 25 kg)</v>
          </cell>
          <cell r="C94" t="str">
            <v>boä</v>
          </cell>
          <cell r="D94">
            <v>1</v>
          </cell>
          <cell r="E94">
            <v>13161</v>
          </cell>
          <cell r="F94">
            <v>0</v>
          </cell>
          <cell r="G94" t="str">
            <v>05.6011</v>
          </cell>
        </row>
        <row r="95">
          <cell r="A95" t="str">
            <v>05.6021</v>
          </cell>
          <cell r="B95" t="str">
            <v>Laép ñaët xaø theùp cho coät ñôõ (troïng löôïng 50 kg)</v>
          </cell>
          <cell r="C95" t="str">
            <v>boä</v>
          </cell>
          <cell r="D95">
            <v>0.2</v>
          </cell>
          <cell r="E95">
            <v>17806</v>
          </cell>
          <cell r="F95">
            <v>0</v>
          </cell>
          <cell r="G95" t="str">
            <v>05.6021</v>
          </cell>
        </row>
        <row r="96">
          <cell r="A96" t="str">
            <v>05.6031</v>
          </cell>
          <cell r="B96" t="str">
            <v>Laép ñaët xaø theùp cho coät ñôõ (troïng löôïng 100 kg)</v>
          </cell>
          <cell r="C96" t="str">
            <v>boä</v>
          </cell>
          <cell r="D96">
            <v>34538</v>
          </cell>
          <cell r="E96">
            <v>23999</v>
          </cell>
          <cell r="F96">
            <v>0</v>
          </cell>
          <cell r="G96" t="str">
            <v>05.6031</v>
          </cell>
        </row>
        <row r="97">
          <cell r="A97" t="str">
            <v>05.6041</v>
          </cell>
          <cell r="B97" t="str">
            <v>Laép ñaët xaø theùp cho coät ñôõ (troïng löôïng 140 kg)</v>
          </cell>
          <cell r="C97" t="str">
            <v>boä</v>
          </cell>
          <cell r="D97">
            <v>678188.16799999983</v>
          </cell>
          <cell r="E97">
            <v>28799</v>
          </cell>
          <cell r="F97">
            <v>0</v>
          </cell>
          <cell r="G97" t="str">
            <v>05.6041</v>
          </cell>
        </row>
        <row r="98">
          <cell r="A98" t="str">
            <v>05.6051</v>
          </cell>
          <cell r="B98" t="str">
            <v>Laép ñaët xaø theùp cho coät ñôõ (troïng löôïng 230 kg)</v>
          </cell>
          <cell r="C98" t="str">
            <v>boä</v>
          </cell>
          <cell r="D98">
            <v>0.2</v>
          </cell>
          <cell r="E98">
            <v>39792</v>
          </cell>
          <cell r="F98">
            <v>0</v>
          </cell>
          <cell r="G98" t="str">
            <v>05.6051</v>
          </cell>
        </row>
        <row r="99">
          <cell r="A99" t="str">
            <v>05.6061</v>
          </cell>
          <cell r="B99" t="str">
            <v>Laép ñaët xaø theùp cho coät ñôõ (troïng löôïng 320 kg)</v>
          </cell>
          <cell r="C99" t="str">
            <v>boä</v>
          </cell>
          <cell r="D99">
            <v>4.96</v>
          </cell>
          <cell r="E99">
            <v>50785</v>
          </cell>
          <cell r="F99">
            <v>0</v>
          </cell>
          <cell r="G99" t="str">
            <v>05.6061</v>
          </cell>
        </row>
        <row r="100">
          <cell r="A100" t="str">
            <v>05.6071</v>
          </cell>
          <cell r="B100" t="str">
            <v>Laép ñaët xaø theùp cho coät ñôõ (troïng löôïng 410 kg)</v>
          </cell>
          <cell r="C100" t="str">
            <v>boä</v>
          </cell>
          <cell r="D100">
            <v>0</v>
          </cell>
          <cell r="E100">
            <v>59920</v>
          </cell>
          <cell r="F100">
            <v>0</v>
          </cell>
          <cell r="G100" t="str">
            <v>05.6071</v>
          </cell>
        </row>
        <row r="101">
          <cell r="A101" t="str">
            <v>05.6081</v>
          </cell>
          <cell r="B101" t="str">
            <v>Laép ñaët xaø theùp cho coät ñôõ (troïng löôïng 500 kg)</v>
          </cell>
          <cell r="C101" t="str">
            <v>boä</v>
          </cell>
          <cell r="D101">
            <v>0</v>
          </cell>
          <cell r="E101">
            <v>70759</v>
          </cell>
          <cell r="F101">
            <v>0</v>
          </cell>
          <cell r="G101" t="str">
            <v>05.6081</v>
          </cell>
        </row>
        <row r="102">
          <cell r="A102" t="str">
            <v>05.6012</v>
          </cell>
          <cell r="B102" t="str">
            <v>Laép ñaët xaø theùp cho coät neùo (troïng löôïng 25 kg)</v>
          </cell>
          <cell r="C102" t="str">
            <v>boä</v>
          </cell>
          <cell r="D102">
            <v>4.3</v>
          </cell>
          <cell r="E102">
            <v>17496</v>
          </cell>
          <cell r="F102">
            <v>0</v>
          </cell>
          <cell r="G102" t="str">
            <v>05.6012</v>
          </cell>
        </row>
        <row r="103">
          <cell r="A103" t="str">
            <v>05.6022</v>
          </cell>
          <cell r="B103" t="str">
            <v>Laép ñaët xaø theùp cho coät neùoõ (troïng löôïng 50 kg)</v>
          </cell>
          <cell r="C103" t="str">
            <v>boä</v>
          </cell>
          <cell r="D103">
            <v>4.5199999999999996</v>
          </cell>
          <cell r="E103">
            <v>23689</v>
          </cell>
          <cell r="F103">
            <v>0</v>
          </cell>
          <cell r="G103" t="str">
            <v>05.6022</v>
          </cell>
        </row>
        <row r="104">
          <cell r="A104" t="str">
            <v>05.6032</v>
          </cell>
          <cell r="B104" t="str">
            <v>Laép ñaët xaø theùp cho coät neùo (troïng löôïng 100 kg)</v>
          </cell>
          <cell r="C104" t="str">
            <v>boä</v>
          </cell>
          <cell r="D104">
            <v>19.635999999999996</v>
          </cell>
          <cell r="E104">
            <v>31896</v>
          </cell>
          <cell r="F104">
            <v>0</v>
          </cell>
          <cell r="G104" t="str">
            <v>05.6032</v>
          </cell>
        </row>
        <row r="105">
          <cell r="A105" t="str">
            <v>05.6042</v>
          </cell>
          <cell r="B105" t="str">
            <v>Laép ñaët xaø theùp cho coät neùo (troïng löôïng 140 kg)</v>
          </cell>
          <cell r="C105" t="str">
            <v>boä</v>
          </cell>
          <cell r="D105">
            <v>34538</v>
          </cell>
          <cell r="E105">
            <v>38244</v>
          </cell>
          <cell r="F105">
            <v>34538</v>
          </cell>
          <cell r="G105" t="str">
            <v>05.6042</v>
          </cell>
        </row>
        <row r="106">
          <cell r="A106" t="str">
            <v>05.6052</v>
          </cell>
          <cell r="B106" t="str">
            <v>Laép ñaët xaø theùp cho coät neùo (troïng löôïng 230 kg)</v>
          </cell>
          <cell r="C106" t="str">
            <v>boä</v>
          </cell>
          <cell r="D106">
            <v>767617.29180952371</v>
          </cell>
          <cell r="E106">
            <v>52798</v>
          </cell>
          <cell r="F106">
            <v>0</v>
          </cell>
          <cell r="G106" t="str">
            <v>05.6052</v>
          </cell>
        </row>
        <row r="107">
          <cell r="A107" t="str">
            <v>05.6062</v>
          </cell>
          <cell r="B107" t="str">
            <v>Laép ñaët xaø theùp cho coät neùo (troïng löôïng 320 kg)</v>
          </cell>
          <cell r="C107" t="str">
            <v>boä</v>
          </cell>
          <cell r="D107">
            <v>735000</v>
          </cell>
          <cell r="E107">
            <v>67507</v>
          </cell>
          <cell r="F107">
            <v>110000</v>
          </cell>
          <cell r="G107" t="str">
            <v>05.6062</v>
          </cell>
        </row>
        <row r="108">
          <cell r="A108" t="str">
            <v>05.6072</v>
          </cell>
          <cell r="B108" t="str">
            <v>Laép ñaët xaø theùp cho coät neùo (troïng löôïng 410 kg)</v>
          </cell>
          <cell r="C108" t="str">
            <v>boä</v>
          </cell>
          <cell r="D108">
            <v>1502617.2918095237</v>
          </cell>
          <cell r="E108">
            <v>79584</v>
          </cell>
          <cell r="F108">
            <v>110000</v>
          </cell>
          <cell r="G108" t="str">
            <v>05.6072</v>
          </cell>
        </row>
        <row r="109">
          <cell r="A109" t="str">
            <v>05.6082</v>
          </cell>
          <cell r="B109" t="str">
            <v>Laép ñaët xaø theùp cho coät neùo (troïng löôïng 500 kg)</v>
          </cell>
          <cell r="C109" t="str">
            <v>boä</v>
          </cell>
          <cell r="D109">
            <v>639000</v>
          </cell>
          <cell r="E109">
            <v>93984</v>
          </cell>
          <cell r="F109">
            <v>73000</v>
          </cell>
          <cell r="G109" t="str">
            <v>05.6082</v>
          </cell>
        </row>
        <row r="110">
          <cell r="A110" t="str">
            <v>05.6043</v>
          </cell>
          <cell r="B110" t="str">
            <v>Laép ñaët xaø theùp cho coät ñuùp (troïng löôïng 140 kg)</v>
          </cell>
          <cell r="C110" t="str">
            <v>boä</v>
          </cell>
          <cell r="D110">
            <v>863617.29180952371</v>
          </cell>
          <cell r="E110">
            <v>32515</v>
          </cell>
          <cell r="F110">
            <v>37000</v>
          </cell>
          <cell r="G110" t="str">
            <v>05.6043</v>
          </cell>
        </row>
        <row r="111">
          <cell r="A111" t="str">
            <v>05.6053</v>
          </cell>
          <cell r="B111" t="str">
            <v>Laép ñaët xaø theùp cho coät ñuùp (troïng löôïng 230 kg)</v>
          </cell>
          <cell r="C111" t="str">
            <v>boä</v>
          </cell>
          <cell r="D111">
            <v>0</v>
          </cell>
          <cell r="E111">
            <v>46295</v>
          </cell>
          <cell r="F111">
            <v>0</v>
          </cell>
          <cell r="G111" t="str">
            <v>05.6053</v>
          </cell>
        </row>
        <row r="112">
          <cell r="A112" t="str">
            <v>05.6063</v>
          </cell>
          <cell r="B112" t="str">
            <v>Laép ñaët xaø theùp cho coät ñuùp (troïng löôïng 320 kg)</v>
          </cell>
          <cell r="C112" t="str">
            <v>boä</v>
          </cell>
          <cell r="D112">
            <v>0</v>
          </cell>
          <cell r="E112">
            <v>58062</v>
          </cell>
          <cell r="F112" t="str">
            <v xml:space="preserve">         </v>
          </cell>
          <cell r="G112" t="str">
            <v>05.6063</v>
          </cell>
        </row>
        <row r="113">
          <cell r="A113" t="str">
            <v>05.6073</v>
          </cell>
          <cell r="B113" t="str">
            <v>Laép ñaët xaø theùp cho coät ñuùp (troïng löôïng 410 kg)</v>
          </cell>
          <cell r="C113" t="str">
            <v>boä</v>
          </cell>
          <cell r="D113">
            <v>0</v>
          </cell>
          <cell r="E113">
            <v>64101</v>
          </cell>
          <cell r="F113">
            <v>0</v>
          </cell>
          <cell r="G113" t="str">
            <v>05.6073</v>
          </cell>
        </row>
        <row r="114">
          <cell r="A114" t="str">
            <v>05.6083</v>
          </cell>
          <cell r="B114" t="str">
            <v>Laép ñaët xaø theùp cho coät ñuùp (troïng löôïng 500 kg)</v>
          </cell>
          <cell r="C114" t="str">
            <v>boä</v>
          </cell>
          <cell r="D114">
            <v>0</v>
          </cell>
          <cell r="E114">
            <v>69985</v>
          </cell>
          <cell r="F114">
            <v>0</v>
          </cell>
          <cell r="G114" t="str">
            <v>05.6083</v>
          </cell>
        </row>
        <row r="115">
          <cell r="A115" t="str">
            <v>05.6093</v>
          </cell>
          <cell r="B115" t="str">
            <v>Laép ñaët xaø theùp cho coät ñuùp (troïng löôïng 750 kg)</v>
          </cell>
          <cell r="C115" t="str">
            <v>boä</v>
          </cell>
          <cell r="D115">
            <v>987061.99580952385</v>
          </cell>
          <cell r="E115">
            <v>89648</v>
          </cell>
          <cell r="F115">
            <v>37000</v>
          </cell>
          <cell r="G115" t="str">
            <v>05.6093</v>
          </cell>
        </row>
        <row r="116">
          <cell r="A116" t="str">
            <v>05.6103</v>
          </cell>
          <cell r="B116" t="str">
            <v>Laép ñaët xaø theùp cho coät ñuùp (troïng löôïng 1000 kg)</v>
          </cell>
          <cell r="C116" t="str">
            <v>boä</v>
          </cell>
          <cell r="D116">
            <v>0</v>
          </cell>
          <cell r="E116">
            <v>105751</v>
          </cell>
          <cell r="F116">
            <v>0</v>
          </cell>
          <cell r="G116" t="str">
            <v>05.6103</v>
          </cell>
        </row>
        <row r="117">
          <cell r="A117" t="str">
            <v>05.6044</v>
          </cell>
          <cell r="B117" t="str">
            <v>Laép ñaët xaø theùp cho coät ñuùp (troïng löôïng 140 kg)</v>
          </cell>
          <cell r="C117" t="str">
            <v>boä</v>
          </cell>
          <cell r="D117">
            <v>0</v>
          </cell>
          <cell r="E117">
            <v>36076</v>
          </cell>
          <cell r="F117">
            <v>0</v>
          </cell>
          <cell r="G117" t="str">
            <v>05.6044</v>
          </cell>
        </row>
        <row r="118">
          <cell r="A118" t="str">
            <v>05.6054</v>
          </cell>
          <cell r="B118" t="str">
            <v>Laép ñaët xaø theùp cho coät ñuùp (troïng löôïng 230 kg)</v>
          </cell>
          <cell r="C118" t="str">
            <v>boä</v>
          </cell>
          <cell r="D118">
            <v>0</v>
          </cell>
          <cell r="E118">
            <v>51559</v>
          </cell>
          <cell r="F118">
            <v>0</v>
          </cell>
          <cell r="G118" t="str">
            <v>05.6054</v>
          </cell>
        </row>
        <row r="119">
          <cell r="A119" t="str">
            <v>05.6064</v>
          </cell>
          <cell r="B119" t="str">
            <v>Laép ñaët xaø theùp cho coät ñuùp (troïng löôïng 320 kg)</v>
          </cell>
          <cell r="C119" t="str">
            <v>boä</v>
          </cell>
          <cell r="D119">
            <v>0</v>
          </cell>
          <cell r="E119">
            <v>64565</v>
          </cell>
          <cell r="F119">
            <v>0</v>
          </cell>
          <cell r="G119" t="str">
            <v>05.6064</v>
          </cell>
        </row>
        <row r="120">
          <cell r="A120" t="str">
            <v>05.6074</v>
          </cell>
          <cell r="B120" t="str">
            <v>Laép ñaët xaø theùp cho coät ñuùp (troïng löôïng 410 kg)</v>
          </cell>
          <cell r="C120" t="str">
            <v>boä</v>
          </cell>
          <cell r="D120" t="str">
            <v>§¬n vÞ</v>
          </cell>
          <cell r="E120">
            <v>71223</v>
          </cell>
          <cell r="F120" t="str">
            <v>HÖ sè bËc hµng</v>
          </cell>
          <cell r="G120" t="str">
            <v>05.6074</v>
          </cell>
        </row>
        <row r="121">
          <cell r="A121" t="str">
            <v>05.6084</v>
          </cell>
          <cell r="B121" t="str">
            <v>Laép ñaët xaø theùp cho coät ñuùp (troïng löôïng 500 kg)</v>
          </cell>
          <cell r="C121" t="str">
            <v>boä</v>
          </cell>
          <cell r="D121">
            <v>0</v>
          </cell>
          <cell r="E121">
            <v>77726</v>
          </cell>
          <cell r="F121">
            <v>0</v>
          </cell>
          <cell r="G121" t="str">
            <v>05.6084</v>
          </cell>
        </row>
        <row r="122">
          <cell r="A122" t="str">
            <v>05.6094</v>
          </cell>
          <cell r="B122" t="str">
            <v>Laép ñaët xaø theùp cho coät ñuùp (troïng löôïng 750 kg)</v>
          </cell>
          <cell r="C122" t="str">
            <v>boä</v>
          </cell>
          <cell r="D122">
            <v>0</v>
          </cell>
          <cell r="E122">
            <v>99558</v>
          </cell>
          <cell r="F122">
            <v>1.3</v>
          </cell>
          <cell r="G122" t="str">
            <v>05.6094</v>
          </cell>
        </row>
        <row r="123">
          <cell r="A123" t="str">
            <v>05.6104</v>
          </cell>
          <cell r="B123" t="str">
            <v>Laép ñaët xaø theùp cho coät ñuùp (troïng löôïng 1000 kg)</v>
          </cell>
          <cell r="C123" t="str">
            <v>boä</v>
          </cell>
          <cell r="D123">
            <v>0</v>
          </cell>
          <cell r="E123">
            <v>117518</v>
          </cell>
          <cell r="F123">
            <v>1.3</v>
          </cell>
          <cell r="G123" t="str">
            <v>05.6104</v>
          </cell>
        </row>
        <row r="124">
          <cell r="A124" t="str">
            <v>06.1105</v>
          </cell>
          <cell r="B124" t="str">
            <v>Laép ñaët söù ñöùng 22 kV</v>
          </cell>
          <cell r="C124" t="str">
            <v>söù</v>
          </cell>
          <cell r="D124">
            <v>155</v>
          </cell>
          <cell r="E124">
            <v>3499.2</v>
          </cell>
          <cell r="F124">
            <v>0</v>
          </cell>
          <cell r="G124" t="str">
            <v>06.1105</v>
          </cell>
        </row>
        <row r="125">
          <cell r="A125" t="str">
            <v>06.1106</v>
          </cell>
          <cell r="B125" t="str">
            <v>Laép ñaët söù ñöùng 35 kV</v>
          </cell>
          <cell r="C125" t="str">
            <v>söù</v>
          </cell>
          <cell r="D125">
            <v>155</v>
          </cell>
          <cell r="E125">
            <v>4459.2</v>
          </cell>
          <cell r="F125">
            <v>0</v>
          </cell>
          <cell r="G125" t="str">
            <v>06.1106</v>
          </cell>
        </row>
        <row r="126">
          <cell r="A126" t="str">
            <v>06.1213</v>
          </cell>
          <cell r="B126" t="str">
            <v>Laép ñaët söù ñöùng haï theá loaïi 2 söù</v>
          </cell>
          <cell r="C126" t="str">
            <v>söù</v>
          </cell>
          <cell r="D126">
            <v>4735.5</v>
          </cell>
          <cell r="E126">
            <v>2884.3</v>
          </cell>
          <cell r="F126">
            <v>0</v>
          </cell>
          <cell r="G126" t="str">
            <v>06.1213</v>
          </cell>
        </row>
        <row r="127">
          <cell r="A127" t="str">
            <v>06.1214</v>
          </cell>
          <cell r="B127" t="str">
            <v>Laép ñaët söù ñöùng haï theá loaïi 3 söù</v>
          </cell>
          <cell r="C127" t="str">
            <v>söù</v>
          </cell>
          <cell r="D127">
            <v>14490</v>
          </cell>
          <cell r="E127">
            <v>4017.4</v>
          </cell>
          <cell r="F127">
            <v>0</v>
          </cell>
          <cell r="G127" t="str">
            <v>06.1214</v>
          </cell>
        </row>
        <row r="128">
          <cell r="A128" t="str">
            <v>06.1215</v>
          </cell>
          <cell r="B128" t="str">
            <v>Laép ñaët söù ñöùng haï theá loaïi 4 söù</v>
          </cell>
          <cell r="C128" t="str">
            <v>söù</v>
          </cell>
          <cell r="D128">
            <v>21000</v>
          </cell>
          <cell r="E128">
            <v>5665.5</v>
          </cell>
          <cell r="F128">
            <v>0</v>
          </cell>
          <cell r="G128" t="str">
            <v>06.1215</v>
          </cell>
        </row>
        <row r="129">
          <cell r="A129" t="str">
            <v>06.1411</v>
          </cell>
          <cell r="B129" t="str">
            <v>Laép ñaët chuoãi söù ñôõ £ 2 baùt chieàu cao £ 20m</v>
          </cell>
          <cell r="C129" t="str">
            <v>chuoãi</v>
          </cell>
          <cell r="D129">
            <v>405</v>
          </cell>
          <cell r="E129">
            <v>2925</v>
          </cell>
          <cell r="F129">
            <v>0</v>
          </cell>
          <cell r="G129" t="str">
            <v>06.1411</v>
          </cell>
        </row>
        <row r="130">
          <cell r="A130" t="str">
            <v>06.1412</v>
          </cell>
          <cell r="B130" t="str">
            <v>Laép ñaët chuoãi söù ñôõ £ 2 baùt chieàu cao £ 30m</v>
          </cell>
          <cell r="C130" t="str">
            <v>chuoãi</v>
          </cell>
          <cell r="D130">
            <v>405</v>
          </cell>
          <cell r="E130">
            <v>3738</v>
          </cell>
          <cell r="F130">
            <v>0</v>
          </cell>
          <cell r="G130" t="str">
            <v>06.1412</v>
          </cell>
        </row>
        <row r="131">
          <cell r="A131" t="str">
            <v>06.1421</v>
          </cell>
          <cell r="B131" t="str">
            <v>Laép ñaët chuoãi söù ñôõ £ 5 baùt chieàu cao £ 20m</v>
          </cell>
          <cell r="C131" t="str">
            <v>chuoãi</v>
          </cell>
          <cell r="D131">
            <v>610</v>
          </cell>
          <cell r="E131">
            <v>6500</v>
          </cell>
          <cell r="F131">
            <v>0</v>
          </cell>
          <cell r="G131" t="str">
            <v>06.1421</v>
          </cell>
        </row>
        <row r="132">
          <cell r="A132" t="str">
            <v>06.1422</v>
          </cell>
          <cell r="B132" t="str">
            <v>Laép ñaët chuoãi söù ñôõ £ 5 baùt chieàu cao £ 30m</v>
          </cell>
          <cell r="C132" t="str">
            <v>chuoãi</v>
          </cell>
          <cell r="D132">
            <v>610</v>
          </cell>
          <cell r="E132">
            <v>6825</v>
          </cell>
          <cell r="F132">
            <v>0</v>
          </cell>
          <cell r="G132" t="str">
            <v>06.1422</v>
          </cell>
        </row>
        <row r="133">
          <cell r="A133" t="str">
            <v>06.1431</v>
          </cell>
          <cell r="B133" t="str">
            <v>Laép ñaët chuoãi söù ñôõ £ 8 baùt chieàu cao £ 20m</v>
          </cell>
          <cell r="C133" t="str">
            <v>chuoãi</v>
          </cell>
          <cell r="D133">
            <v>975</v>
          </cell>
          <cell r="E133">
            <v>10401</v>
          </cell>
          <cell r="F133">
            <v>0</v>
          </cell>
          <cell r="G133" t="str">
            <v>06.1431</v>
          </cell>
        </row>
        <row r="134">
          <cell r="A134" t="str">
            <v>06.1432</v>
          </cell>
          <cell r="B134" t="str">
            <v>Laép ñaët chuoãi söù ñôõ £ 8 baùt chieàu cao £ 30m</v>
          </cell>
          <cell r="C134" t="str">
            <v>chuoãi</v>
          </cell>
          <cell r="D134">
            <v>975</v>
          </cell>
          <cell r="E134">
            <v>10888</v>
          </cell>
          <cell r="F134">
            <v>0</v>
          </cell>
          <cell r="G134" t="str">
            <v>06.1432</v>
          </cell>
        </row>
        <row r="135">
          <cell r="A135" t="str">
            <v>06.1441</v>
          </cell>
          <cell r="B135" t="str">
            <v>Laép ñaët chuoãi söù ñôõ £ 11 baùt chieàu cao £ 20m</v>
          </cell>
          <cell r="C135" t="str">
            <v>chuoãi</v>
          </cell>
          <cell r="D135">
            <v>1335</v>
          </cell>
          <cell r="E135">
            <v>14626</v>
          </cell>
          <cell r="F135">
            <v>0</v>
          </cell>
          <cell r="G135" t="str">
            <v>06.1441</v>
          </cell>
        </row>
        <row r="136">
          <cell r="A136" t="str">
            <v>06.1442</v>
          </cell>
          <cell r="B136" t="str">
            <v>Laép ñaët chuoãi söù ñôõ £ 11 baùt chieàu cao £ 30m</v>
          </cell>
          <cell r="C136" t="str">
            <v>chuoãi</v>
          </cell>
          <cell r="D136">
            <v>1335</v>
          </cell>
          <cell r="E136">
            <v>15438</v>
          </cell>
          <cell r="F136">
            <v>0</v>
          </cell>
          <cell r="G136" t="str">
            <v>06.1442</v>
          </cell>
        </row>
        <row r="137">
          <cell r="A137" t="str">
            <v>06.1511</v>
          </cell>
          <cell r="B137" t="str">
            <v>Laép ñaët chuoãi söù neùo £ 2 baùt chieàu cao £ 20m</v>
          </cell>
          <cell r="C137" t="str">
            <v>chuoãi</v>
          </cell>
          <cell r="D137">
            <v>405</v>
          </cell>
          <cell r="E137">
            <v>3088</v>
          </cell>
          <cell r="F137">
            <v>0</v>
          </cell>
          <cell r="G137" t="str">
            <v>06.1511</v>
          </cell>
        </row>
        <row r="138">
          <cell r="A138" t="str">
            <v>06.1512</v>
          </cell>
          <cell r="B138" t="str">
            <v>Laép ñaët chuoãi söù neùo £ 2 baùt chieàu cao £ 30m</v>
          </cell>
          <cell r="C138" t="str">
            <v>chuoãi</v>
          </cell>
          <cell r="D138">
            <v>405</v>
          </cell>
          <cell r="E138">
            <v>3900</v>
          </cell>
          <cell r="F138">
            <v>0</v>
          </cell>
          <cell r="G138" t="str">
            <v>06.1512</v>
          </cell>
        </row>
        <row r="139">
          <cell r="A139" t="str">
            <v>06.1521</v>
          </cell>
          <cell r="B139" t="str">
            <v>Laép ñaët chuoãi söù neùo £ 5 baùt chieàu cao £ 20m</v>
          </cell>
          <cell r="C139" t="str">
            <v>chuoãi</v>
          </cell>
          <cell r="D139">
            <v>610</v>
          </cell>
          <cell r="E139">
            <v>7313</v>
          </cell>
          <cell r="F139">
            <v>0</v>
          </cell>
          <cell r="G139" t="str">
            <v>06.1521</v>
          </cell>
        </row>
        <row r="140">
          <cell r="A140" t="str">
            <v>06.1522</v>
          </cell>
          <cell r="B140" t="str">
            <v>Laép ñaët chuoãi söù neùo £ 5 baùt chieàu cao £ 30m</v>
          </cell>
          <cell r="C140" t="str">
            <v>chuoãi</v>
          </cell>
          <cell r="D140">
            <v>610</v>
          </cell>
          <cell r="E140">
            <v>7638</v>
          </cell>
          <cell r="F140">
            <v>0</v>
          </cell>
          <cell r="G140" t="str">
            <v>06.1522</v>
          </cell>
        </row>
        <row r="141">
          <cell r="A141" t="str">
            <v>06.1531</v>
          </cell>
          <cell r="B141" t="str">
            <v>Laép ñaët chuoãi söù neùo £ 8 baùt chieàu cao £ 20m</v>
          </cell>
          <cell r="C141" t="str">
            <v>chuoãi</v>
          </cell>
          <cell r="D141">
            <v>975</v>
          </cell>
          <cell r="E141">
            <v>11538</v>
          </cell>
          <cell r="F141">
            <v>0</v>
          </cell>
          <cell r="G141" t="str">
            <v>06.1531</v>
          </cell>
        </row>
        <row r="142">
          <cell r="A142" t="str">
            <v>06.1532</v>
          </cell>
          <cell r="B142" t="str">
            <v>Laép ñaët chuoãi söù neùo £ 8 baùt chieàu cao £ 30m</v>
          </cell>
          <cell r="C142" t="str">
            <v>chuoãi</v>
          </cell>
          <cell r="D142">
            <v>975</v>
          </cell>
          <cell r="E142">
            <v>12188</v>
          </cell>
          <cell r="F142">
            <v>0</v>
          </cell>
          <cell r="G142" t="str">
            <v>06.1532</v>
          </cell>
        </row>
        <row r="143">
          <cell r="A143" t="str">
            <v>06.1541</v>
          </cell>
          <cell r="B143" t="str">
            <v>Laép ñaët chuoãi söù neùo £ 11 baùt chieàu cao £ 20m</v>
          </cell>
          <cell r="C143" t="str">
            <v>chuoãi</v>
          </cell>
          <cell r="D143">
            <v>1335</v>
          </cell>
          <cell r="E143">
            <v>16413</v>
          </cell>
          <cell r="F143">
            <v>0</v>
          </cell>
          <cell r="G143" t="str">
            <v>06.1541</v>
          </cell>
        </row>
        <row r="144">
          <cell r="A144" t="str">
            <v>06.1542</v>
          </cell>
          <cell r="B144" t="str">
            <v>Laép ñaët chuoãi söù neùo £ 11 baùt chieàu cao £ 30m</v>
          </cell>
          <cell r="C144" t="str">
            <v>chuoãi</v>
          </cell>
          <cell r="D144">
            <v>1335</v>
          </cell>
          <cell r="E144">
            <v>17389</v>
          </cell>
          <cell r="F144">
            <v>0</v>
          </cell>
          <cell r="G144" t="str">
            <v>06.1542</v>
          </cell>
        </row>
        <row r="145">
          <cell r="A145" t="str">
            <v>06.2011</v>
          </cell>
          <cell r="B145" t="str">
            <v>Laép taï choáng rung (Coät coù chieàu cao £ 20m)</v>
          </cell>
          <cell r="C145" t="str">
            <v>boä</v>
          </cell>
          <cell r="D145">
            <v>0</v>
          </cell>
          <cell r="E145">
            <v>5850</v>
          </cell>
          <cell r="F145">
            <v>0</v>
          </cell>
          <cell r="G145" t="str">
            <v>06.2011</v>
          </cell>
        </row>
        <row r="146">
          <cell r="A146" t="str">
            <v>06.2012</v>
          </cell>
          <cell r="B146" t="str">
            <v>Laép taï choáng rung (Coät coù chieàu cao £ 30m)</v>
          </cell>
          <cell r="C146" t="str">
            <v>boä</v>
          </cell>
          <cell r="D146">
            <v>0</v>
          </cell>
          <cell r="E146">
            <v>6175</v>
          </cell>
          <cell r="F146">
            <v>0</v>
          </cell>
          <cell r="G146" t="str">
            <v>06.2012</v>
          </cell>
        </row>
        <row r="147">
          <cell r="A147" t="str">
            <v>06.2013</v>
          </cell>
          <cell r="B147" t="str">
            <v>Laép taï choáng rung (Coät coù chieàu cao £ 40m)</v>
          </cell>
          <cell r="C147" t="str">
            <v>boä</v>
          </cell>
          <cell r="D147">
            <v>0</v>
          </cell>
          <cell r="E147">
            <v>6988</v>
          </cell>
          <cell r="F147">
            <v>0</v>
          </cell>
          <cell r="G147" t="str">
            <v>06.2013</v>
          </cell>
        </row>
        <row r="148">
          <cell r="A148" t="str">
            <v>06.2014</v>
          </cell>
          <cell r="B148" t="str">
            <v>Laép taï choáng rung (Coät coù chieàu cao £ 50m)</v>
          </cell>
          <cell r="C148" t="str">
            <v>boä</v>
          </cell>
          <cell r="D148">
            <v>0</v>
          </cell>
          <cell r="E148">
            <v>7963</v>
          </cell>
          <cell r="F148">
            <v>0</v>
          </cell>
          <cell r="G148" t="str">
            <v>06.2014</v>
          </cell>
        </row>
        <row r="149">
          <cell r="A149" t="str">
            <v>06.2015</v>
          </cell>
          <cell r="B149" t="str">
            <v>Laép taï choáng rung (Coät coù chieàu cao &gt; 50m)</v>
          </cell>
          <cell r="C149" t="str">
            <v>boä</v>
          </cell>
          <cell r="D149">
            <v>0</v>
          </cell>
          <cell r="E149">
            <v>8776</v>
          </cell>
          <cell r="F149">
            <v>0</v>
          </cell>
          <cell r="G149" t="str">
            <v>06.2015</v>
          </cell>
        </row>
        <row r="150">
          <cell r="A150" t="str">
            <v>06.2110</v>
          </cell>
          <cell r="B150" t="str">
            <v>Laép ñaët coå deà</v>
          </cell>
          <cell r="C150" t="str">
            <v>boä</v>
          </cell>
          <cell r="D150">
            <v>0</v>
          </cell>
          <cell r="E150">
            <v>5688</v>
          </cell>
          <cell r="F150">
            <v>0</v>
          </cell>
          <cell r="G150" t="str">
            <v>06.2110</v>
          </cell>
        </row>
        <row r="151">
          <cell r="A151" t="str">
            <v>06.2120</v>
          </cell>
          <cell r="B151" t="str">
            <v xml:space="preserve">Laép ñaët daây neùo </v>
          </cell>
          <cell r="C151" t="str">
            <v>boä</v>
          </cell>
          <cell r="D151">
            <v>0</v>
          </cell>
          <cell r="E151">
            <v>7313</v>
          </cell>
          <cell r="F151">
            <v>0</v>
          </cell>
          <cell r="G151" t="str">
            <v>06.2120</v>
          </cell>
        </row>
        <row r="152">
          <cell r="A152" t="str">
            <v>06.2141</v>
          </cell>
          <cell r="B152" t="str">
            <v>Laép ñaët khoùa ñôõ daây choáng seùt tieát dieän £ 70 (Coät coù chieàu cao £ 20m)</v>
          </cell>
          <cell r="C152" t="str">
            <v>boä</v>
          </cell>
          <cell r="D152">
            <v>0</v>
          </cell>
          <cell r="E152">
            <v>1788</v>
          </cell>
          <cell r="F152">
            <v>0</v>
          </cell>
          <cell r="G152" t="str">
            <v>06.2141</v>
          </cell>
        </row>
        <row r="153">
          <cell r="A153" t="str">
            <v>06.2142</v>
          </cell>
          <cell r="B153" t="str">
            <v>Laép ñaët khoùa ñôõ daây choáng seùt tieát dieän £ 70 (Coät coù chieàu cao £ 30m)</v>
          </cell>
          <cell r="C153" t="str">
            <v>boä</v>
          </cell>
          <cell r="D153">
            <v>0</v>
          </cell>
          <cell r="E153">
            <v>1950</v>
          </cell>
          <cell r="F153">
            <v>0</v>
          </cell>
          <cell r="G153" t="str">
            <v>06.2142</v>
          </cell>
        </row>
        <row r="154">
          <cell r="A154" t="str">
            <v>06.2151</v>
          </cell>
          <cell r="B154" t="str">
            <v>Laép ñaët khoùa ñôõ daây choáng seùt tieát dieän £ 240 (Coät coù chieàu cao £ 20m)</v>
          </cell>
          <cell r="C154" t="str">
            <v>boä</v>
          </cell>
          <cell r="D154">
            <v>75046</v>
          </cell>
          <cell r="E154">
            <v>2763</v>
          </cell>
          <cell r="F154">
            <v>0</v>
          </cell>
          <cell r="G154" t="str">
            <v>06.2151</v>
          </cell>
        </row>
        <row r="155">
          <cell r="A155" t="str">
            <v>06.2152</v>
          </cell>
          <cell r="B155" t="str">
            <v>Laép ñaët khoùa ñôõ daây choáng seùt tieát dieän £ 240 (Coät coù chieàu cao £ 30m)</v>
          </cell>
          <cell r="C155" t="str">
            <v>boä</v>
          </cell>
          <cell r="D155">
            <v>0</v>
          </cell>
          <cell r="E155">
            <v>2925</v>
          </cell>
          <cell r="F155">
            <v>0</v>
          </cell>
          <cell r="G155" t="str">
            <v>06.2152</v>
          </cell>
        </row>
        <row r="156">
          <cell r="A156" t="str">
            <v>06.2161</v>
          </cell>
          <cell r="B156" t="str">
            <v>Laép ñaët khoùa ñôõ daây choáng seùt tieát dieän &gt; 240 (Coät coù chieàu cao £ 20m)</v>
          </cell>
          <cell r="C156" t="str">
            <v>boä</v>
          </cell>
          <cell r="D156">
            <v>0</v>
          </cell>
          <cell r="E156">
            <v>5688</v>
          </cell>
          <cell r="F156">
            <v>0</v>
          </cell>
          <cell r="G156" t="str">
            <v>06.2161</v>
          </cell>
        </row>
        <row r="157">
          <cell r="A157" t="str">
            <v>06.2162</v>
          </cell>
          <cell r="B157" t="str">
            <v>Laép ñaët khoùa ñôõ daây choáng seùt tieát dieän &gt; 240 (Coät coù chieàu cao £ 30m)</v>
          </cell>
          <cell r="C157" t="str">
            <v>boä</v>
          </cell>
          <cell r="D157">
            <v>0</v>
          </cell>
          <cell r="E157">
            <v>5850</v>
          </cell>
          <cell r="F157">
            <v>0</v>
          </cell>
          <cell r="G157" t="str">
            <v>06.2162</v>
          </cell>
        </row>
        <row r="158">
          <cell r="A158" t="str">
            <v>06.5011</v>
          </cell>
          <cell r="B158" t="str">
            <v>Vöôït ñöôøng daây thoâng tin tieát dieän daây £ 50</v>
          </cell>
          <cell r="C158" t="str">
            <v>V.trí</v>
          </cell>
          <cell r="D158">
            <v>75046</v>
          </cell>
          <cell r="E158">
            <v>78346</v>
          </cell>
          <cell r="F158">
            <v>0</v>
          </cell>
          <cell r="G158" t="str">
            <v>06.5011</v>
          </cell>
        </row>
        <row r="159">
          <cell r="A159" t="str">
            <v>06.5012</v>
          </cell>
          <cell r="B159" t="str">
            <v>Vöôït ñöôøng daây thoâng tin tieát dieän daây £ 95</v>
          </cell>
          <cell r="C159" t="str">
            <v>V.trí</v>
          </cell>
          <cell r="D159">
            <v>104623</v>
          </cell>
          <cell r="E159">
            <v>90887</v>
          </cell>
          <cell r="F159">
            <v>0</v>
          </cell>
          <cell r="G159" t="str">
            <v>06.5012</v>
          </cell>
        </row>
        <row r="160">
          <cell r="A160" t="str">
            <v>06.5013</v>
          </cell>
          <cell r="B160" t="str">
            <v>Vöôït ñöôøng daây thoâng tin tieát dieän daây £ 150</v>
          </cell>
          <cell r="C160" t="str">
            <v>V.trí</v>
          </cell>
          <cell r="D160">
            <v>134516</v>
          </cell>
          <cell r="E160">
            <v>127737</v>
          </cell>
          <cell r="F160">
            <v>0</v>
          </cell>
          <cell r="G160" t="str">
            <v>06.5013</v>
          </cell>
        </row>
        <row r="161">
          <cell r="A161" t="str">
            <v>06.5014</v>
          </cell>
          <cell r="B161" t="str">
            <v>Vöôït ñöôøng daây thoâng tin tieát dieän daây £ 240</v>
          </cell>
          <cell r="C161" t="str">
            <v>V.trí</v>
          </cell>
          <cell r="D161">
            <v>163462</v>
          </cell>
          <cell r="E161">
            <v>143530</v>
          </cell>
          <cell r="F161">
            <v>0</v>
          </cell>
          <cell r="G161" t="str">
            <v>06.5014</v>
          </cell>
        </row>
        <row r="162">
          <cell r="A162" t="str">
            <v>06.5015</v>
          </cell>
          <cell r="B162" t="str">
            <v>Vöôït ñöôøng daây thoâng tin tieát dieän daây &gt; 240</v>
          </cell>
          <cell r="C162" t="str">
            <v>V.trí</v>
          </cell>
          <cell r="D162">
            <v>223247</v>
          </cell>
          <cell r="E162">
            <v>226521</v>
          </cell>
          <cell r="F162">
            <v>0</v>
          </cell>
          <cell r="G162" t="str">
            <v>06.5015</v>
          </cell>
        </row>
        <row r="163">
          <cell r="A163" t="str">
            <v>06.5011</v>
          </cell>
          <cell r="B163" t="str">
            <v>Vöôït ñöôøng daây haï theá tieát dieän daây £ 50</v>
          </cell>
          <cell r="C163" t="str">
            <v>V.trí</v>
          </cell>
          <cell r="D163">
            <v>75046</v>
          </cell>
          <cell r="E163">
            <v>78346</v>
          </cell>
          <cell r="F163">
            <v>0</v>
          </cell>
          <cell r="G163" t="str">
            <v>06.5011</v>
          </cell>
        </row>
        <row r="164">
          <cell r="A164" t="str">
            <v>06.5012</v>
          </cell>
          <cell r="B164" t="str">
            <v>Vöôït ñöôøng daây haï theá tieát dieän daây £ 95</v>
          </cell>
          <cell r="C164" t="str">
            <v>V.trí</v>
          </cell>
          <cell r="D164">
            <v>104623</v>
          </cell>
          <cell r="E164">
            <v>90887</v>
          </cell>
          <cell r="F164">
            <v>0</v>
          </cell>
          <cell r="G164" t="str">
            <v>06.5012</v>
          </cell>
        </row>
        <row r="165">
          <cell r="A165" t="str">
            <v>06.5013</v>
          </cell>
          <cell r="B165" t="str">
            <v>Vöôït ñöôøng daây haï theá tieát dieän daây £ 150</v>
          </cell>
          <cell r="C165" t="str">
            <v>V.trí</v>
          </cell>
          <cell r="D165">
            <v>134516</v>
          </cell>
          <cell r="E165">
            <v>127737</v>
          </cell>
          <cell r="F165">
            <v>0</v>
          </cell>
          <cell r="G165" t="str">
            <v>06.5013</v>
          </cell>
        </row>
        <row r="166">
          <cell r="A166" t="str">
            <v>06.5014</v>
          </cell>
          <cell r="B166" t="str">
            <v>Vöôït ñöôøng daây haï theá tieát dieän daây £ 240</v>
          </cell>
          <cell r="C166" t="str">
            <v>V.trí</v>
          </cell>
          <cell r="D166">
            <v>163462</v>
          </cell>
          <cell r="E166">
            <v>143530</v>
          </cell>
          <cell r="F166">
            <v>0</v>
          </cell>
          <cell r="G166" t="str">
            <v>06.5014</v>
          </cell>
        </row>
        <row r="167">
          <cell r="A167" t="str">
            <v>06.5015</v>
          </cell>
          <cell r="B167" t="str">
            <v>Vöôït ñöôøng daây haï theá tieát dieän daây &gt; 240</v>
          </cell>
          <cell r="C167" t="str">
            <v>V.trí</v>
          </cell>
          <cell r="D167">
            <v>223247</v>
          </cell>
          <cell r="E167">
            <v>226521</v>
          </cell>
          <cell r="F167">
            <v>0</v>
          </cell>
          <cell r="G167" t="str">
            <v>06.5015</v>
          </cell>
        </row>
        <row r="168">
          <cell r="A168" t="str">
            <v>06.5021</v>
          </cell>
          <cell r="B168" t="str">
            <v>Vöôït ñöôøng daây 35 kV tieát dieän daây £ 50</v>
          </cell>
          <cell r="C168" t="str">
            <v>V.trí</v>
          </cell>
          <cell r="D168">
            <v>119570</v>
          </cell>
          <cell r="E168">
            <v>105596</v>
          </cell>
          <cell r="F168">
            <v>0</v>
          </cell>
          <cell r="G168" t="str">
            <v>06.5021</v>
          </cell>
        </row>
        <row r="169">
          <cell r="A169" t="str">
            <v>06.5022</v>
          </cell>
          <cell r="B169" t="str">
            <v>Vöôït ñöôøng daây 35 kV tieát dieän daây £ 95</v>
          </cell>
          <cell r="C169" t="str">
            <v>V.trí</v>
          </cell>
          <cell r="D169">
            <v>149462</v>
          </cell>
          <cell r="E169">
            <v>121544</v>
          </cell>
          <cell r="F169">
            <v>0</v>
          </cell>
          <cell r="G169" t="str">
            <v>06.5022</v>
          </cell>
        </row>
        <row r="170">
          <cell r="A170" t="str">
            <v>06.5023</v>
          </cell>
          <cell r="B170" t="str">
            <v>Vöôït ñöôøng daây 35 kV tieát dieän daây £ 150</v>
          </cell>
          <cell r="C170" t="str">
            <v>V.trí</v>
          </cell>
          <cell r="D170">
            <v>178093</v>
          </cell>
          <cell r="E170">
            <v>148495</v>
          </cell>
          <cell r="F170">
            <v>0</v>
          </cell>
          <cell r="G170" t="str">
            <v>06.5023</v>
          </cell>
        </row>
        <row r="171">
          <cell r="A171" t="str">
            <v>06.5024</v>
          </cell>
          <cell r="B171" t="str">
            <v>Vöôït ñöôøng daây 35 kV tieát dieän daây £ 240</v>
          </cell>
          <cell r="C171" t="str">
            <v>V.trí</v>
          </cell>
          <cell r="D171">
            <v>224193</v>
          </cell>
          <cell r="E171">
            <v>166446</v>
          </cell>
          <cell r="F171">
            <v>0</v>
          </cell>
          <cell r="G171" t="str">
            <v>06.5024</v>
          </cell>
        </row>
        <row r="172">
          <cell r="A172" t="str">
            <v>06.5025</v>
          </cell>
          <cell r="B172" t="str">
            <v>Vöôït ñöôøng daây 35 kV tieát dieän daây &gt; 240</v>
          </cell>
          <cell r="C172" t="str">
            <v>V.trí</v>
          </cell>
          <cell r="D172">
            <v>313870</v>
          </cell>
          <cell r="E172">
            <v>290467</v>
          </cell>
          <cell r="F172">
            <v>0</v>
          </cell>
          <cell r="G172" t="str">
            <v>06.5025</v>
          </cell>
        </row>
        <row r="173">
          <cell r="A173" t="str">
            <v>06.5061</v>
          </cell>
          <cell r="B173" t="str">
            <v>Vöôït ñöôøng giao thoâng &gt;10m tieát dieän daây £ 50</v>
          </cell>
          <cell r="C173" t="str">
            <v>V.trí</v>
          </cell>
          <cell r="D173">
            <v>177462</v>
          </cell>
          <cell r="E173">
            <v>143995</v>
          </cell>
          <cell r="F173">
            <v>0</v>
          </cell>
          <cell r="G173" t="str">
            <v>06.5061</v>
          </cell>
        </row>
        <row r="174">
          <cell r="A174" t="str">
            <v>06.5062</v>
          </cell>
          <cell r="B174" t="str">
            <v>Vöôït ñöôøng giao thoâng &gt;10m tieát dieän daây £ 95</v>
          </cell>
          <cell r="C174" t="str">
            <v>V.trí</v>
          </cell>
          <cell r="D174">
            <v>252130</v>
          </cell>
          <cell r="E174">
            <v>190445</v>
          </cell>
          <cell r="F174">
            <v>0</v>
          </cell>
          <cell r="G174" t="str">
            <v>06.5062</v>
          </cell>
        </row>
        <row r="175">
          <cell r="A175" t="str">
            <v>06.5063</v>
          </cell>
          <cell r="B175" t="str">
            <v>Vöôït ñöôøng giao thoâng &gt;10m tieát dieän daây £ 150</v>
          </cell>
          <cell r="C175" t="str">
            <v>V.trí</v>
          </cell>
          <cell r="D175">
            <v>328186</v>
          </cell>
          <cell r="E175">
            <v>233024</v>
          </cell>
          <cell r="F175">
            <v>0</v>
          </cell>
          <cell r="G175" t="str">
            <v>06.5063</v>
          </cell>
        </row>
        <row r="176">
          <cell r="A176" t="str">
            <v>06.5064</v>
          </cell>
          <cell r="B176" t="str">
            <v>Vöôït ñöôøng giao thoâng &gt;10m tieát dieän daây £ 240</v>
          </cell>
          <cell r="C176" t="str">
            <v>V.trí</v>
          </cell>
          <cell r="D176">
            <v>285447</v>
          </cell>
          <cell r="E176">
            <v>261823</v>
          </cell>
          <cell r="F176">
            <v>0</v>
          </cell>
          <cell r="G176" t="str">
            <v>06.5064</v>
          </cell>
        </row>
        <row r="177">
          <cell r="A177" t="str">
            <v>06.5065</v>
          </cell>
          <cell r="B177" t="str">
            <v>Vöôït ñöôøng giao thoâng &gt;10m tieát dieän daây &gt; 240</v>
          </cell>
          <cell r="C177" t="str">
            <v>V.trí</v>
          </cell>
          <cell r="D177">
            <v>532260</v>
          </cell>
          <cell r="E177">
            <v>410618</v>
          </cell>
          <cell r="F177">
            <v>0</v>
          </cell>
          <cell r="G177" t="str">
            <v>06.5065</v>
          </cell>
        </row>
        <row r="178">
          <cell r="A178" t="str">
            <v>06.5071</v>
          </cell>
          <cell r="B178" t="str">
            <v>Vò trí beû goùc tieát dieän daây £ 50</v>
          </cell>
          <cell r="C178" t="str">
            <v>V.trí</v>
          </cell>
          <cell r="D178">
            <v>0</v>
          </cell>
          <cell r="E178">
            <v>30697</v>
          </cell>
          <cell r="F178">
            <v>0</v>
          </cell>
          <cell r="G178" t="str">
            <v>06.5071</v>
          </cell>
        </row>
        <row r="179">
          <cell r="A179" t="str">
            <v>06.5072</v>
          </cell>
          <cell r="B179" t="str">
            <v>Vò trí beû goùc tieát dieän daây £ 95</v>
          </cell>
          <cell r="C179" t="str">
            <v>V.trí</v>
          </cell>
          <cell r="D179">
            <v>0</v>
          </cell>
          <cell r="E179">
            <v>61933</v>
          </cell>
          <cell r="F179">
            <v>0</v>
          </cell>
          <cell r="G179" t="str">
            <v>06.5072</v>
          </cell>
        </row>
        <row r="180">
          <cell r="A180" t="str">
            <v>06.5073</v>
          </cell>
          <cell r="B180" t="str">
            <v>Vò trí beû goùc tieát dieän daây £ 150</v>
          </cell>
          <cell r="C180" t="str">
            <v>V.trí</v>
          </cell>
          <cell r="D180">
            <v>0</v>
          </cell>
          <cell r="E180">
            <v>78346</v>
          </cell>
          <cell r="F180">
            <v>0</v>
          </cell>
          <cell r="G180" t="str">
            <v>06.5073</v>
          </cell>
        </row>
        <row r="181">
          <cell r="A181" t="str">
            <v>06.5074</v>
          </cell>
          <cell r="B181" t="str">
            <v>Vò trí beû goùc tieát dieän daây £ 240</v>
          </cell>
          <cell r="C181" t="str">
            <v>V.trí</v>
          </cell>
          <cell r="D181">
            <v>0</v>
          </cell>
          <cell r="E181">
            <v>80978</v>
          </cell>
          <cell r="F181">
            <v>0</v>
          </cell>
          <cell r="G181" t="str">
            <v>06.5074</v>
          </cell>
        </row>
        <row r="182">
          <cell r="A182" t="str">
            <v>06.5075</v>
          </cell>
          <cell r="B182" t="str">
            <v>Vò trí beû goùc tieát dieän daây &gt; 240</v>
          </cell>
          <cell r="C182" t="str">
            <v>V.trí</v>
          </cell>
          <cell r="D182">
            <v>0</v>
          </cell>
          <cell r="E182">
            <v>150188</v>
          </cell>
          <cell r="F182">
            <v>0</v>
          </cell>
          <cell r="G182" t="str">
            <v>06.5075</v>
          </cell>
        </row>
        <row r="183">
          <cell r="A183" t="str">
            <v>06.6104</v>
          </cell>
          <cell r="B183" t="str">
            <v>Raûi caêng daây laáy ñoä voõng daây AC-50mm 2</v>
          </cell>
          <cell r="C183" t="str">
            <v>km</v>
          </cell>
          <cell r="D183">
            <v>212189</v>
          </cell>
          <cell r="E183">
            <v>261153</v>
          </cell>
          <cell r="F183">
            <v>0</v>
          </cell>
          <cell r="G183" t="str">
            <v>06.6104</v>
          </cell>
        </row>
        <row r="184">
          <cell r="A184" t="str">
            <v>06.6105</v>
          </cell>
          <cell r="B184" t="str">
            <v>Raûi caêng daây laáy ñoä voõng daây AC-70mm 2</v>
          </cell>
          <cell r="C184" t="str">
            <v>km</v>
          </cell>
          <cell r="D184">
            <v>212789</v>
          </cell>
          <cell r="E184">
            <v>348908</v>
          </cell>
          <cell r="F184">
            <v>0</v>
          </cell>
          <cell r="G184" t="str">
            <v>06.6105</v>
          </cell>
        </row>
        <row r="185">
          <cell r="A185" t="str">
            <v>06.6106</v>
          </cell>
          <cell r="B185" t="str">
            <v>Raûi caêng daây laáy ñoä voõng daây AC-95mm 2</v>
          </cell>
          <cell r="C185" t="str">
            <v>km</v>
          </cell>
          <cell r="D185">
            <v>212789</v>
          </cell>
          <cell r="E185">
            <v>475178</v>
          </cell>
          <cell r="F185">
            <v>0</v>
          </cell>
          <cell r="G185" t="str">
            <v>06.6106</v>
          </cell>
        </row>
        <row r="186">
          <cell r="A186" t="str">
            <v>06.6107</v>
          </cell>
          <cell r="B186" t="str">
            <v>Raûi caêng daây laáy ñoä voõng daây AC-120mm 2</v>
          </cell>
          <cell r="C186" t="str">
            <v>km</v>
          </cell>
          <cell r="D186">
            <v>298671</v>
          </cell>
          <cell r="E186">
            <v>588862</v>
          </cell>
          <cell r="F186">
            <v>0</v>
          </cell>
          <cell r="G186" t="str">
            <v>06.6107</v>
          </cell>
        </row>
        <row r="187">
          <cell r="A187" t="str">
            <v>06.6108</v>
          </cell>
          <cell r="B187" t="str">
            <v>Raûi caêng daây laáy ñoä voõng daây AC-150mm 2</v>
          </cell>
          <cell r="C187" t="str">
            <v>km</v>
          </cell>
          <cell r="D187">
            <v>298671</v>
          </cell>
          <cell r="E187">
            <v>712550</v>
          </cell>
          <cell r="F187">
            <v>0</v>
          </cell>
          <cell r="G187" t="str">
            <v>06.6108</v>
          </cell>
        </row>
        <row r="188">
          <cell r="A188" t="str">
            <v>06.6109</v>
          </cell>
          <cell r="B188" t="str">
            <v>Raûi caêng daây laáy ñoä voõng daây AC-185mm 2</v>
          </cell>
          <cell r="C188" t="str">
            <v>km</v>
          </cell>
          <cell r="D188">
            <v>298671</v>
          </cell>
          <cell r="E188">
            <v>840899</v>
          </cell>
          <cell r="F188">
            <v>0</v>
          </cell>
          <cell r="G188" t="str">
            <v>06.6109</v>
          </cell>
        </row>
        <row r="189">
          <cell r="A189" t="str">
            <v>06.6110</v>
          </cell>
          <cell r="B189" t="str">
            <v>Raûi caêng daây laáy ñoä voõng daây AC-240mm 2</v>
          </cell>
          <cell r="C189" t="str">
            <v>km</v>
          </cell>
          <cell r="D189">
            <v>298671</v>
          </cell>
          <cell r="E189">
            <v>924792</v>
          </cell>
          <cell r="F189">
            <v>0</v>
          </cell>
          <cell r="G189" t="str">
            <v>06.6110</v>
          </cell>
        </row>
        <row r="190">
          <cell r="A190" t="str">
            <v>06.6124</v>
          </cell>
          <cell r="B190" t="str">
            <v>Raûi caêng daây laáy ñoä voõng daây A-50mm 2</v>
          </cell>
          <cell r="C190" t="str">
            <v>km</v>
          </cell>
          <cell r="D190">
            <v>212189</v>
          </cell>
          <cell r="E190">
            <v>208012</v>
          </cell>
          <cell r="F190">
            <v>0</v>
          </cell>
          <cell r="G190" t="str">
            <v>06.6124</v>
          </cell>
        </row>
        <row r="191">
          <cell r="A191" t="str">
            <v>06.6125</v>
          </cell>
          <cell r="B191" t="str">
            <v>Raûi caêng daây laáy ñoä voõng daây A-70mm 2</v>
          </cell>
          <cell r="C191" t="str">
            <v>km</v>
          </cell>
          <cell r="D191">
            <v>212189</v>
          </cell>
          <cell r="E191">
            <v>279516</v>
          </cell>
          <cell r="F191">
            <v>0</v>
          </cell>
          <cell r="G191" t="str">
            <v>06.6125</v>
          </cell>
        </row>
        <row r="192">
          <cell r="A192" t="str">
            <v>06.6126</v>
          </cell>
          <cell r="B192" t="str">
            <v>Raûi caêng daây laáy ñoä voõng daây A-95mm 2</v>
          </cell>
          <cell r="C192" t="str">
            <v>km</v>
          </cell>
          <cell r="D192">
            <v>212189</v>
          </cell>
          <cell r="E192">
            <v>381897</v>
          </cell>
          <cell r="F192">
            <v>0</v>
          </cell>
          <cell r="G192" t="str">
            <v>06.6126</v>
          </cell>
        </row>
        <row r="193">
          <cell r="A193" t="str">
            <v>06.6133</v>
          </cell>
          <cell r="B193" t="str">
            <v>Raûi caêng daây choáng seùt tieát dieän 35mm 2</v>
          </cell>
          <cell r="C193" t="str">
            <v>km</v>
          </cell>
          <cell r="D193">
            <v>211789</v>
          </cell>
          <cell r="E193">
            <v>365484</v>
          </cell>
          <cell r="F193">
            <v>0</v>
          </cell>
          <cell r="G193" t="str">
            <v>06.6133</v>
          </cell>
        </row>
        <row r="194">
          <cell r="A194" t="str">
            <v>06.6134</v>
          </cell>
          <cell r="B194" t="str">
            <v>Raûi caêng daây choáng seùt tieát dieän 50mm 2</v>
          </cell>
          <cell r="C194" t="str">
            <v>km</v>
          </cell>
          <cell r="D194">
            <v>211789</v>
          </cell>
          <cell r="E194">
            <v>409524</v>
          </cell>
          <cell r="F194">
            <v>0</v>
          </cell>
          <cell r="G194" t="str">
            <v>06.6134</v>
          </cell>
        </row>
        <row r="195">
          <cell r="A195" t="str">
            <v>06.6135</v>
          </cell>
          <cell r="B195" t="str">
            <v>Raûi caêng daây choáng seùt tieát dieän 70mm 2</v>
          </cell>
          <cell r="C195" t="str">
            <v>km</v>
          </cell>
          <cell r="D195">
            <v>211789</v>
          </cell>
          <cell r="E195">
            <v>491429</v>
          </cell>
          <cell r="F195">
            <v>0</v>
          </cell>
          <cell r="G195" t="str">
            <v>06.6135</v>
          </cell>
        </row>
        <row r="197">
          <cell r="A197" t="str">
            <v>02.1211</v>
          </cell>
          <cell r="B197" t="str">
            <v>Vaän chuyeån xi maêng cöï ly 100m</v>
          </cell>
          <cell r="C197" t="str">
            <v>taán</v>
          </cell>
          <cell r="D197">
            <v>0</v>
          </cell>
          <cell r="E197">
            <v>71813</v>
          </cell>
        </row>
        <row r="198">
          <cell r="A198" t="str">
            <v>02.1212</v>
          </cell>
          <cell r="B198" t="str">
            <v>Vaän chuyeån xi maêng cöï ly 300m</v>
          </cell>
          <cell r="C198" t="str">
            <v>taán</v>
          </cell>
          <cell r="D198">
            <v>0</v>
          </cell>
          <cell r="E198">
            <v>67545</v>
          </cell>
        </row>
        <row r="199">
          <cell r="A199" t="str">
            <v>02.1213</v>
          </cell>
          <cell r="B199" t="str">
            <v>Vaän chuyeån xi maêng cöï ly 500m</v>
          </cell>
          <cell r="C199" t="str">
            <v>taán</v>
          </cell>
          <cell r="D199">
            <v>0</v>
          </cell>
          <cell r="E199">
            <v>66956</v>
          </cell>
        </row>
        <row r="200">
          <cell r="A200" t="str">
            <v>02.1214</v>
          </cell>
          <cell r="B200" t="str">
            <v>Vaän chuyeån xi maêng cöï ly &gt;500m</v>
          </cell>
          <cell r="C200" t="str">
            <v>taán</v>
          </cell>
          <cell r="D200">
            <v>0</v>
          </cell>
          <cell r="E200">
            <v>66515</v>
          </cell>
        </row>
        <row r="202">
          <cell r="A202" t="str">
            <v>02.1241</v>
          </cell>
          <cell r="B202" t="str">
            <v xml:space="preserve">Vaän chuyeån ñaù </v>
          </cell>
          <cell r="C202" t="str">
            <v>m3</v>
          </cell>
          <cell r="D202">
            <v>0</v>
          </cell>
          <cell r="E202">
            <v>70635</v>
          </cell>
        </row>
        <row r="203">
          <cell r="A203" t="str">
            <v>02.1242</v>
          </cell>
          <cell r="B203" t="str">
            <v xml:space="preserve">Vaän chuyeån ñaù </v>
          </cell>
          <cell r="C203" t="str">
            <v>m3</v>
          </cell>
          <cell r="D203">
            <v>0</v>
          </cell>
          <cell r="E203">
            <v>67692</v>
          </cell>
        </row>
        <row r="204">
          <cell r="A204" t="str">
            <v>02.1243</v>
          </cell>
          <cell r="B204" t="str">
            <v xml:space="preserve">Vaän chuyeån ñaù </v>
          </cell>
          <cell r="C204" t="str">
            <v>m3</v>
          </cell>
          <cell r="D204">
            <v>0</v>
          </cell>
          <cell r="E204">
            <v>67104</v>
          </cell>
        </row>
        <row r="205">
          <cell r="A205" t="str">
            <v>02.1244</v>
          </cell>
          <cell r="B205" t="str">
            <v xml:space="preserve">Vaän chuyeån ñaù </v>
          </cell>
          <cell r="C205" t="str">
            <v>m3</v>
          </cell>
          <cell r="D205">
            <v>0</v>
          </cell>
          <cell r="E205">
            <v>66662</v>
          </cell>
        </row>
        <row r="206">
          <cell r="A206" t="str">
            <v>02.1232</v>
          </cell>
          <cell r="B206" t="str">
            <v>Vaän chuyeån caÙt</v>
          </cell>
          <cell r="C206" t="str">
            <v>m3</v>
          </cell>
        </row>
        <row r="207">
          <cell r="A207" t="str">
            <v>02.1231</v>
          </cell>
          <cell r="B207" t="str">
            <v>Vaän chuyeån caùt</v>
          </cell>
          <cell r="C207" t="str">
            <v>m3</v>
          </cell>
          <cell r="D207">
            <v>0</v>
          </cell>
          <cell r="E207">
            <v>67251</v>
          </cell>
        </row>
        <row r="208">
          <cell r="A208" t="str">
            <v>02.1232</v>
          </cell>
          <cell r="B208" t="str">
            <v>Vaän chuyeån caùt</v>
          </cell>
          <cell r="C208" t="str">
            <v>m3</v>
          </cell>
          <cell r="D208">
            <v>0</v>
          </cell>
          <cell r="E208">
            <v>64308</v>
          </cell>
        </row>
        <row r="209">
          <cell r="A209" t="str">
            <v>02.1233</v>
          </cell>
          <cell r="B209" t="str">
            <v>Vaän chuyeån caùt</v>
          </cell>
          <cell r="C209" t="str">
            <v>m3</v>
          </cell>
          <cell r="D209">
            <v>0</v>
          </cell>
          <cell r="E209">
            <v>63719</v>
          </cell>
        </row>
        <row r="210">
          <cell r="A210" t="str">
            <v>02.1234</v>
          </cell>
          <cell r="B210" t="str">
            <v>Vaän chuyeån caùt</v>
          </cell>
          <cell r="C210" t="str">
            <v>m3</v>
          </cell>
          <cell r="D210">
            <v>0</v>
          </cell>
          <cell r="E210">
            <v>62983</v>
          </cell>
        </row>
        <row r="212">
          <cell r="A212" t="str">
            <v>02.1351</v>
          </cell>
          <cell r="B212" t="str">
            <v>Vaän chuyeån coát theùp + bulon</v>
          </cell>
          <cell r="C212" t="str">
            <v>Taán</v>
          </cell>
          <cell r="D212">
            <v>0</v>
          </cell>
          <cell r="E212">
            <v>110221</v>
          </cell>
        </row>
        <row r="213">
          <cell r="A213" t="str">
            <v>02.1352</v>
          </cell>
          <cell r="B213" t="str">
            <v>Vaän chuyeån coát theùp + bulon</v>
          </cell>
          <cell r="C213" t="str">
            <v>Taán</v>
          </cell>
          <cell r="D213">
            <v>0</v>
          </cell>
          <cell r="E213">
            <v>103451</v>
          </cell>
        </row>
        <row r="214">
          <cell r="A214" t="str">
            <v>02.1353</v>
          </cell>
          <cell r="B214" t="str">
            <v>Vaän chuyeån coát theùp + bulon</v>
          </cell>
          <cell r="C214" t="str">
            <v>Taán</v>
          </cell>
          <cell r="D214">
            <v>0</v>
          </cell>
          <cell r="E214">
            <v>102127</v>
          </cell>
        </row>
        <row r="215">
          <cell r="A215" t="str">
            <v>02.1354</v>
          </cell>
          <cell r="B215" t="str">
            <v>Vaän chuyeån coát theùp + bulon</v>
          </cell>
          <cell r="C215" t="str">
            <v>Taán</v>
          </cell>
          <cell r="D215">
            <v>0</v>
          </cell>
          <cell r="E215">
            <v>93739</v>
          </cell>
        </row>
        <row r="217">
          <cell r="A217" t="str">
            <v>02.1331</v>
          </cell>
          <cell r="B217" t="str">
            <v>Vaän chuyeån vaùn khuoân</v>
          </cell>
          <cell r="C217" t="str">
            <v>m3</v>
          </cell>
          <cell r="D217">
            <v>0</v>
          </cell>
          <cell r="E217">
            <v>57391</v>
          </cell>
        </row>
        <row r="218">
          <cell r="A218" t="str">
            <v>02.1332</v>
          </cell>
          <cell r="B218" t="str">
            <v>Vaän chuyeån vaùn khuoân</v>
          </cell>
          <cell r="C218" t="str">
            <v>m3</v>
          </cell>
          <cell r="D218">
            <v>0</v>
          </cell>
          <cell r="E218">
            <v>55037</v>
          </cell>
        </row>
        <row r="219">
          <cell r="A219" t="str">
            <v>02.1333</v>
          </cell>
          <cell r="B219" t="str">
            <v>Vaän chuyeån vaùn khuoân</v>
          </cell>
          <cell r="C219" t="str">
            <v>m3</v>
          </cell>
          <cell r="D219">
            <v>0</v>
          </cell>
          <cell r="E219">
            <v>54301</v>
          </cell>
        </row>
        <row r="220">
          <cell r="A220" t="str">
            <v>02.1334</v>
          </cell>
          <cell r="B220" t="str">
            <v>Vaän chuyeån vaùn khuoân</v>
          </cell>
          <cell r="C220" t="str">
            <v>m3</v>
          </cell>
          <cell r="D220">
            <v>0</v>
          </cell>
          <cell r="E220">
            <v>53859</v>
          </cell>
        </row>
        <row r="222">
          <cell r="A222" t="str">
            <v>02.1321</v>
          </cell>
          <cell r="B222" t="str">
            <v>Vaän chuyeån nöôùc</v>
          </cell>
          <cell r="C222" t="str">
            <v>m3</v>
          </cell>
          <cell r="D222">
            <v>134516</v>
          </cell>
          <cell r="E222">
            <v>57833</v>
          </cell>
        </row>
        <row r="223">
          <cell r="A223" t="str">
            <v>02.1322</v>
          </cell>
          <cell r="B223" t="str">
            <v>Vaän chuyeån nöôùc</v>
          </cell>
          <cell r="C223" t="str">
            <v>m3</v>
          </cell>
          <cell r="D223">
            <v>0</v>
          </cell>
          <cell r="E223">
            <v>56950</v>
          </cell>
        </row>
        <row r="224">
          <cell r="A224" t="str">
            <v>02.1323</v>
          </cell>
          <cell r="B224" t="str">
            <v>Vaän chuyeån nöôùc</v>
          </cell>
          <cell r="C224" t="str">
            <v>m3</v>
          </cell>
          <cell r="D224">
            <v>0</v>
          </cell>
          <cell r="E224">
            <v>49592</v>
          </cell>
        </row>
        <row r="225">
          <cell r="A225" t="str">
            <v>02.1324</v>
          </cell>
          <cell r="B225" t="str">
            <v>Vaän chuyeån nöôùc</v>
          </cell>
          <cell r="C225" t="str">
            <v>m3</v>
          </cell>
          <cell r="D225">
            <v>0</v>
          </cell>
          <cell r="E225">
            <v>48415</v>
          </cell>
        </row>
        <row r="227">
          <cell r="A227" t="str">
            <v>02.1391</v>
          </cell>
          <cell r="B227" t="str">
            <v>Vaän chuyeån coïc tre</v>
          </cell>
          <cell r="C227" t="str">
            <v>coïc</v>
          </cell>
          <cell r="D227">
            <v>0</v>
          </cell>
          <cell r="E227">
            <v>17953</v>
          </cell>
        </row>
        <row r="228">
          <cell r="A228" t="str">
            <v>02.1392</v>
          </cell>
          <cell r="B228" t="str">
            <v>Vaän chuyeån coïc tre</v>
          </cell>
          <cell r="C228" t="str">
            <v>coïc</v>
          </cell>
          <cell r="D228">
            <v>0</v>
          </cell>
          <cell r="E228">
            <v>16923</v>
          </cell>
        </row>
        <row r="229">
          <cell r="A229" t="str">
            <v>02.1393</v>
          </cell>
          <cell r="B229" t="str">
            <v>Vaän chuyeån coïc tre</v>
          </cell>
          <cell r="C229" t="str">
            <v>coïc</v>
          </cell>
          <cell r="D229">
            <v>0</v>
          </cell>
          <cell r="E229">
            <v>16776</v>
          </cell>
        </row>
        <row r="230">
          <cell r="A230" t="str">
            <v>02.1394</v>
          </cell>
          <cell r="B230" t="str">
            <v>Vaän chuyeån coïc tre</v>
          </cell>
          <cell r="C230" t="str">
            <v>coïc</v>
          </cell>
          <cell r="D230">
            <v>0</v>
          </cell>
          <cell r="E230">
            <v>16629</v>
          </cell>
        </row>
        <row r="232">
          <cell r="A232" t="str">
            <v>02.1391</v>
          </cell>
          <cell r="B232" t="str">
            <v>Vaän chuyeån coùt eùp</v>
          </cell>
          <cell r="C232" t="str">
            <v>taám</v>
          </cell>
          <cell r="D232">
            <v>0</v>
          </cell>
          <cell r="E232">
            <v>17953</v>
          </cell>
        </row>
        <row r="233">
          <cell r="A233" t="str">
            <v>02.1392</v>
          </cell>
          <cell r="B233" t="str">
            <v>Vaän chuyeån coùt eùp</v>
          </cell>
          <cell r="C233" t="str">
            <v>taám</v>
          </cell>
          <cell r="D233">
            <v>0</v>
          </cell>
          <cell r="E233">
            <v>16923</v>
          </cell>
        </row>
        <row r="234">
          <cell r="A234" t="str">
            <v>02.1393</v>
          </cell>
          <cell r="B234" t="str">
            <v>Vaän chuyeån coùt eùp</v>
          </cell>
          <cell r="C234" t="str">
            <v>taám</v>
          </cell>
          <cell r="D234">
            <v>0</v>
          </cell>
          <cell r="E234">
            <v>16776</v>
          </cell>
        </row>
        <row r="235">
          <cell r="A235" t="str">
            <v>02.1394</v>
          </cell>
          <cell r="B235" t="str">
            <v>Vaän chuyeån coùt eùp</v>
          </cell>
          <cell r="C235" t="str">
            <v>taám</v>
          </cell>
          <cell r="D235">
            <v>0</v>
          </cell>
          <cell r="E235">
            <v>16629</v>
          </cell>
        </row>
        <row r="237">
          <cell r="A237" t="str">
            <v>02.1481</v>
          </cell>
          <cell r="B237" t="str">
            <v>Vaän chuyeån DCTC</v>
          </cell>
          <cell r="C237" t="str">
            <v>Taán</v>
          </cell>
          <cell r="D237">
            <v>0</v>
          </cell>
          <cell r="E237">
            <v>91090</v>
          </cell>
        </row>
        <row r="238">
          <cell r="A238" t="str">
            <v>02.1482</v>
          </cell>
          <cell r="B238" t="str">
            <v>Vaän chuyeån DCTC</v>
          </cell>
          <cell r="C238" t="str">
            <v>Taán</v>
          </cell>
          <cell r="D238">
            <v>0</v>
          </cell>
          <cell r="E238">
            <v>84615</v>
          </cell>
        </row>
        <row r="239">
          <cell r="A239" t="str">
            <v>02.1483</v>
          </cell>
          <cell r="B239" t="str">
            <v>Vaän chuyeån DCTC</v>
          </cell>
          <cell r="C239" t="str">
            <v>Taán</v>
          </cell>
          <cell r="D239">
            <v>0</v>
          </cell>
          <cell r="E239">
            <v>83585</v>
          </cell>
        </row>
        <row r="240">
          <cell r="A240" t="str">
            <v>02.1484</v>
          </cell>
          <cell r="B240" t="str">
            <v>Vaän chuyeån DCTC</v>
          </cell>
          <cell r="C240" t="str">
            <v>Taán</v>
          </cell>
          <cell r="D240">
            <v>0</v>
          </cell>
          <cell r="E240">
            <v>82849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refreshError="1"/>
      <sheetData sheetId="143"/>
      <sheetData sheetId="144" refreshError="1"/>
      <sheetData sheetId="145" refreshError="1"/>
      <sheetData sheetId="146" refreshError="1"/>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sheetData sheetId="203" refreshError="1"/>
      <sheetData sheetId="204" refreshError="1"/>
      <sheetData sheetId="205" refreshError="1"/>
      <sheetData sheetId="206"/>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TDZ22"/>
      <sheetName val="DZ22"/>
      <sheetName val="Tbi"/>
      <sheetName val="BTTBA"/>
      <sheetName val="HTCS"/>
      <sheetName val="KT"/>
      <sheetName val="TN"/>
      <sheetName val="CLVL"/>
      <sheetName val="Bu tru VL"/>
      <sheetName val="vc"/>
      <sheetName val="THctiet"/>
      <sheetName val="THTT"/>
      <sheetName val="TH (2)"/>
      <sheetName val="bia"/>
      <sheetName val="00000000"/>
      <sheetName val="XL4Poppy"/>
      <sheetName val="TT_0,4KV"/>
      <sheetName val="v聣"/>
      <sheetName val="v?"/>
      <sheetName val="Don gia"/>
      <sheetName val="CTbe tong"/>
      <sheetName val="CTDZ 0.4+cto"/>
      <sheetName val="VL"/>
      <sheetName val="ND"/>
      <sheetName val="tienluong"/>
      <sheetName val="v_"/>
      <sheetName val="Loading"/>
      <sheetName val="Check C"/>
    </sheetNames>
    <sheetDataSet>
      <sheetData sheetId="0"/>
      <sheetData sheetId="1"/>
      <sheetData sheetId="2" refreshError="1"/>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hiet tinh TBA"/>
    </sheetNames>
    <sheetDataSet>
      <sheetData sheetId="0"/>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PIPE-03E"/>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Dong Dau"/>
      <sheetName val="Dong Dau (2)"/>
      <sheetName val="Sau dong"/>
      <sheetName val="Ma xa"/>
      <sheetName val="My dinh"/>
      <sheetName val="Tong cong"/>
      <sheetName val="KH 2003 (moi max)"/>
      <sheetName val="DTHH"/>
      <sheetName val="Bang1"/>
      <sheetName val="TAI TRONG"/>
      <sheetName val="NOI LUC"/>
      <sheetName val="TINH DUYET THTT CHINH"/>
      <sheetName val="TDUYET THTT PHU"/>
      <sheetName val="TINH DAO DONG VA DO VONG"/>
      <sheetName val="TINH NEO"/>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Gia VL"/>
      <sheetName val="Bang gia ca may"/>
      <sheetName val="Bang luong CB"/>
      <sheetName val="Bang P.tich CT"/>
      <sheetName val="D.toan chi tiet"/>
      <sheetName val="Bang TH Dtoan"/>
      <sheetName val="XXXXXXXX"/>
      <sheetName val="116(300)"/>
      <sheetName val="116(200)"/>
      <sheetName val="116(150)"/>
      <sheetName val="1"/>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VL"/>
      <sheetName val="CTXD"/>
      <sheetName val=".."/>
      <sheetName val="CTDN"/>
      <sheetName val="san vuon"/>
      <sheetName val="khu phu tro"/>
      <sheetName val="TH"/>
      <sheetName val="Phu luc"/>
      <sheetName val="Gia trÞ"/>
      <sheetName val="Chart2"/>
      <sheetName val="KH12"/>
      <sheetName val="CN12"/>
      <sheetName val="HD12"/>
      <sheetName val="KH1"/>
      <sheetName val="Thuyet minh"/>
      <sheetName val="CQ-HQ"/>
      <sheetName val="be tong"/>
      <sheetName val="Thep"/>
      <sheetName val="Tong hop thep"/>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ongty"/>
      <sheetName val="VPPN"/>
      <sheetName val="XN74"/>
      <sheetName val="XN54"/>
      <sheetName val="XN33"/>
      <sheetName val="NK96"/>
      <sheetName val="XL4Test5"/>
      <sheetName val="THCT"/>
      <sheetName val="cap cho cac DT"/>
      <sheetName val="Ung - hoan"/>
      <sheetName val="CP may"/>
      <sheetName val="SS"/>
      <sheetName val="NVL"/>
      <sheetName val="Thep "/>
      <sheetName val="Chi tiet Khoi luong"/>
      <sheetName val="TH khoi luong"/>
      <sheetName val="Chiet tinh vat lieu "/>
      <sheetName val="TH KL VL"/>
      <sheetName val="phan tich DG"/>
      <sheetName val="gia vat lieu"/>
      <sheetName val="gia xe may"/>
      <sheetName val="gia nhan cong"/>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DT"/>
      <sheetName val="THND"/>
      <sheetName val="THMD"/>
      <sheetName val="Phtro1"/>
      <sheetName val="DTKS1"/>
      <sheetName val="CT1m"/>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HIT"/>
      <sheetName val="THXH"/>
      <sheetName val="BHXH"/>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tscd"/>
      <sheetName val="KM"/>
      <sheetName val="KHOANMUC"/>
      <sheetName val="CPQL"/>
      <sheetName val="SANLUONG"/>
      <sheetName val="SSCP-SL"/>
      <sheetName val="CPSX"/>
      <sheetName val="KQKD"/>
      <sheetName val="CDSL (2)"/>
      <sheetName val="00000001"/>
      <sheetName val="00000002"/>
      <sheetName val="00000003"/>
      <sheetName val="00000004"/>
      <sheetName val="dutoan1"/>
      <sheetName val="Anhtoan"/>
      <sheetName val="dutoan2"/>
      <sheetName val="vat tu"/>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Quang Tri"/>
      <sheetName val="TTHue"/>
      <sheetName val="Da Nang"/>
      <sheetName val="Quang Nam"/>
      <sheetName val="Quang Ngai"/>
      <sheetName val="TH DH-QN"/>
      <sheetName val="KP HD"/>
      <sheetName val="DB HD"/>
      <sheetName val="9"/>
      <sheetName val="10"/>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lvl"/>
      <sheetName val="Chenh lech"/>
      <sheetName val="Kinh phí"/>
      <sheetName val="Thang 12"/>
      <sheetName val="Thang 1"/>
      <sheetName val="moi"/>
      <sheetName val="Thang 12 (2)"/>
      <sheetName val="Thang 01"/>
      <sheetName val="HTSD6LD"/>
      <sheetName val="HTSDDNN"/>
      <sheetName val="HTSDKT"/>
      <sheetName val="BD"/>
      <sheetName val="HTNT"/>
      <sheetName val="CHART"/>
      <sheetName val="HTDT"/>
      <sheetName val="HTSDD"/>
      <sheetName val="Tien ung"/>
      <sheetName val="phi luong3"/>
      <sheetName val="Phu luc HD"/>
      <sheetName val="Gia du thau"/>
      <sheetName val="PTDG"/>
      <sheetName val="Ca xe"/>
      <sheetName val="CT xa"/>
      <sheetName val="TLGC"/>
      <sheetName val="BL"/>
      <sheetName val="tc"/>
      <sheetName val="TDT"/>
      <sheetName val="xl"/>
      <sheetName val="NN"/>
      <sheetName val="Tralaivay"/>
      <sheetName val="TBTN"/>
      <sheetName val="CPTV"/>
      <sheetName val="PCCHAY"/>
      <sheetName val="dtks"/>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1(T1)04"/>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TM"/>
      <sheetName val="BU-gian"/>
      <sheetName val="Bu-Ha"/>
      <sheetName val="PTVT"/>
      <sheetName val="Gia DAN"/>
      <sheetName val="Dan"/>
      <sheetName val="Cuoc"/>
      <sheetName val="Bugia"/>
      <sheetName val="KL57"/>
      <sheetName val="binh do"/>
      <sheetName val="cot lieu"/>
      <sheetName val="van khuon"/>
      <sheetName val="CT BT"/>
      <sheetName val="lay mau"/>
      <sheetName val="mat ngoai goi"/>
      <sheetName val="coc tram-bt"/>
      <sheetName val="C45A-BH"/>
      <sheetName val="C46A-BH"/>
      <sheetName val="C47A-BH"/>
      <sheetName val="C48A-BH"/>
      <sheetName val="S-53-1"/>
      <sheetName val="sent to"/>
      <sheetName val="Caodo"/>
      <sheetName val="Dat"/>
      <sheetName val="KL-CTTK"/>
      <sheetName val="BTH"/>
      <sheetName val="Quyet toan"/>
      <sheetName val="Thu hoi"/>
      <sheetName val="Lai vay"/>
      <sheetName val="Tien vay"/>
      <sheetName val="Cong no"/>
      <sheetName val="Cop pha"/>
      <sheetName val="20000000"/>
      <sheetName val="Q1-02"/>
      <sheetName val="Q2-02"/>
      <sheetName val="Q3-02"/>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120"/>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THDT"/>
      <sheetName val="DM-Goc"/>
      <sheetName val="Gia-CT"/>
      <sheetName val="PTCP"/>
      <sheetName val="cphoi"/>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ia"/>
      <sheetName val="KSTKe"/>
      <sheetName val="THKPhi"/>
      <sheetName val="THKP 35KV"/>
      <sheetName val="TH-35"/>
      <sheetName val="CT-35"/>
      <sheetName val="TDT-tram"/>
      <sheetName val="VL-NC-M tram"/>
      <sheetName val="chiet tinh tram"/>
      <sheetName val="CT-BETONG"/>
      <sheetName val="Chi tiet van chuyen"/>
      <sheetName val="CTVL"/>
      <sheetName val="CT-0.4KV"/>
      <sheetName val="TH_0.4KV"/>
      <sheetName val="TDT0.4KV"/>
      <sheetName val="BCKT35KV"/>
      <sheetName val="TDT_CTo"/>
      <sheetName val="TH_CTo"/>
      <sheetName val="Don gia khao sat"/>
      <sheetName val="Chiet tinh tu van"/>
      <sheetName val="Khoi luong van chuyen "/>
      <sheetName val="TDT"/>
      <sheetName val="TONGDUTOAN"/>
      <sheetName val="DENBU"/>
      <sheetName val="VTuThuHoi"/>
      <sheetName val="Mong"/>
      <sheetName val="Von"/>
      <sheetName val="TH-Tram75 (2)"/>
      <sheetName val="00000000"/>
      <sheetName val="Sheet1"/>
      <sheetName val="Sheet4"/>
      <sheetName val="Sheet2"/>
      <sheetName val="Sheet3"/>
      <sheetName val="XL4Test5"/>
      <sheetName val="XL4Poppy"/>
      <sheetName val="CT_35"/>
      <sheetName val="0000p000"/>
    </sheetNames>
    <sheetDataSet>
      <sheetData sheetId="0"/>
      <sheetData sheetId="1"/>
      <sheetData sheetId="2"/>
      <sheetData sheetId="3"/>
      <sheetData sheetId="4"/>
      <sheetData sheetId="5" refreshError="1">
        <row r="3">
          <cell r="A3" t="str">
            <v>Code</v>
          </cell>
          <cell r="B3" t="str">
            <v>STT</v>
          </cell>
          <cell r="C3" t="str">
            <v>M· hiÖu</v>
          </cell>
          <cell r="D3" t="str">
            <v>Néi dung c«ng viÖc</v>
          </cell>
          <cell r="E3" t="str">
            <v>§¬n vÞ</v>
          </cell>
          <cell r="F3" t="str">
            <v>K. l­îng</v>
          </cell>
          <cell r="G3" t="str">
            <v>TLHH</v>
          </cell>
          <cell r="H3" t="str">
            <v>§¬n gi¸</v>
          </cell>
          <cell r="K3" t="str">
            <v>Thµnh tiÒn</v>
          </cell>
        </row>
        <row r="4">
          <cell r="H4" t="str">
            <v xml:space="preserve">VËt liÖu </v>
          </cell>
          <cell r="I4" t="str">
            <v>Nh©n c«ng</v>
          </cell>
          <cell r="J4" t="str">
            <v>M¸y thi c«ng</v>
          </cell>
          <cell r="K4" t="str">
            <v xml:space="preserve">VËt liÖu </v>
          </cell>
          <cell r="L4" t="str">
            <v>Nh©n c«ng</v>
          </cell>
          <cell r="M4" t="str">
            <v>M¸y thi c«ng</v>
          </cell>
        </row>
        <row r="5">
          <cell r="A5">
            <v>1</v>
          </cell>
          <cell r="D5" t="str">
            <v>Mãng cét MT-3</v>
          </cell>
          <cell r="K5">
            <v>584887.18240000005</v>
          </cell>
          <cell r="L5">
            <v>421292.54360626999</v>
          </cell>
          <cell r="M5">
            <v>182.72280000000001</v>
          </cell>
        </row>
        <row r="6">
          <cell r="B6">
            <v>1</v>
          </cell>
          <cell r="C6" t="str">
            <v>04.3101a</v>
          </cell>
          <cell r="D6" t="str">
            <v>Bª t«ng lãt M50</v>
          </cell>
          <cell r="E6" t="str">
            <v>m3</v>
          </cell>
          <cell r="F6">
            <v>0.252</v>
          </cell>
          <cell r="H6">
            <v>186516.995</v>
          </cell>
          <cell r="I6">
            <v>39733</v>
          </cell>
          <cell r="K6">
            <v>47002</v>
          </cell>
          <cell r="L6">
            <v>10012.716</v>
          </cell>
        </row>
        <row r="7">
          <cell r="B7">
            <v>2</v>
          </cell>
          <cell r="C7" t="str">
            <v>04.3312</v>
          </cell>
          <cell r="D7" t="str">
            <v>Bª t«ng ®óc M150</v>
          </cell>
          <cell r="E7" t="str">
            <v>m3</v>
          </cell>
          <cell r="F7">
            <v>1.35</v>
          </cell>
          <cell r="H7">
            <v>270382.03000000003</v>
          </cell>
          <cell r="I7">
            <v>45030</v>
          </cell>
          <cell r="K7">
            <v>365016</v>
          </cell>
          <cell r="L7">
            <v>60790.500000000007</v>
          </cell>
        </row>
        <row r="8">
          <cell r="B8">
            <v>3</v>
          </cell>
          <cell r="C8" t="str">
            <v>04.3313</v>
          </cell>
          <cell r="D8" t="str">
            <v>Bª t«ng chÌn M200</v>
          </cell>
          <cell r="E8" t="str">
            <v>m3</v>
          </cell>
          <cell r="F8">
            <v>7.0000000000000007E-2</v>
          </cell>
          <cell r="H8">
            <v>282269.83</v>
          </cell>
          <cell r="I8">
            <v>45030</v>
          </cell>
          <cell r="K8">
            <v>19759</v>
          </cell>
          <cell r="L8">
            <v>3152.1000000000004</v>
          </cell>
        </row>
        <row r="9">
          <cell r="B9">
            <v>4</v>
          </cell>
          <cell r="C9" t="str">
            <v>04.1101</v>
          </cell>
          <cell r="D9" t="str">
            <v>Cèt thÐp CT3, d=8</v>
          </cell>
          <cell r="E9" t="str">
            <v>kg</v>
          </cell>
          <cell r="F9">
            <v>5</v>
          </cell>
          <cell r="G9">
            <v>1.02</v>
          </cell>
          <cell r="H9">
            <v>4620</v>
          </cell>
          <cell r="I9">
            <v>202</v>
          </cell>
          <cell r="J9">
            <v>16.899999999999999</v>
          </cell>
          <cell r="K9">
            <v>23562</v>
          </cell>
          <cell r="L9">
            <v>1030.2</v>
          </cell>
          <cell r="M9">
            <v>86.19</v>
          </cell>
        </row>
        <row r="10">
          <cell r="B10">
            <v>5</v>
          </cell>
          <cell r="C10" t="str">
            <v>04.1101</v>
          </cell>
          <cell r="D10" t="str">
            <v>Cèt thÐp CT3, d=10</v>
          </cell>
          <cell r="E10" t="str">
            <v>kg</v>
          </cell>
          <cell r="F10">
            <v>5.6</v>
          </cell>
          <cell r="G10">
            <v>1.02</v>
          </cell>
          <cell r="H10">
            <v>4460</v>
          </cell>
          <cell r="I10">
            <v>202</v>
          </cell>
          <cell r="J10">
            <v>16.899999999999999</v>
          </cell>
          <cell r="K10">
            <v>25475.519999999997</v>
          </cell>
          <cell r="L10">
            <v>1153.8239999999998</v>
          </cell>
          <cell r="M10">
            <v>96.532799999999995</v>
          </cell>
        </row>
        <row r="11">
          <cell r="B11">
            <v>6</v>
          </cell>
          <cell r="C11" t="str">
            <v>04.2001</v>
          </cell>
          <cell r="D11" t="str">
            <v>GhÐp v¸n khu«n mãng</v>
          </cell>
          <cell r="E11" t="str">
            <v>m2</v>
          </cell>
          <cell r="F11">
            <v>5.52</v>
          </cell>
          <cell r="H11">
            <v>18600.12</v>
          </cell>
          <cell r="I11">
            <v>5309.19</v>
          </cell>
          <cell r="K11">
            <v>102672.66239999999</v>
          </cell>
          <cell r="L11">
            <v>29306.728799999997</v>
          </cell>
        </row>
        <row r="12">
          <cell r="B12">
            <v>7</v>
          </cell>
          <cell r="C12" t="str">
            <v>Q4/2001</v>
          </cell>
          <cell r="D12" t="str">
            <v>D©y thÐp buéc</v>
          </cell>
          <cell r="E12" t="str">
            <v>kg</v>
          </cell>
          <cell r="F12">
            <v>0.2</v>
          </cell>
          <cell r="H12">
            <v>7000</v>
          </cell>
          <cell r="K12">
            <v>1400</v>
          </cell>
        </row>
        <row r="13">
          <cell r="B13">
            <v>8</v>
          </cell>
          <cell r="C13" t="str">
            <v>03.1113</v>
          </cell>
          <cell r="D13" t="str">
            <v>§µo ®Êt cÊp III s©u &lt;2m, S&lt;5m2</v>
          </cell>
          <cell r="E13" t="str">
            <v>m3</v>
          </cell>
          <cell r="F13">
            <v>7.68</v>
          </cell>
          <cell r="I13">
            <v>24428</v>
          </cell>
          <cell r="K13">
            <v>0</v>
          </cell>
          <cell r="L13">
            <v>187607.03999999998</v>
          </cell>
        </row>
        <row r="14">
          <cell r="B14">
            <v>9</v>
          </cell>
          <cell r="C14" t="str">
            <v>03.2203</v>
          </cell>
          <cell r="D14" t="str">
            <v>LÊp ®Êt</v>
          </cell>
          <cell r="E14" t="str">
            <v>m3</v>
          </cell>
          <cell r="F14">
            <v>6.0079999999999991</v>
          </cell>
          <cell r="I14">
            <v>10890</v>
          </cell>
          <cell r="K14">
            <v>0</v>
          </cell>
          <cell r="L14">
            <v>65427.119999999988</v>
          </cell>
        </row>
        <row r="15">
          <cell r="B15">
            <v>10</v>
          </cell>
          <cell r="C15" t="str">
            <v>03.2203</v>
          </cell>
          <cell r="D15" t="str">
            <v>§¾p ®Êt ch©n cét</v>
          </cell>
          <cell r="E15" t="str">
            <v>m3</v>
          </cell>
          <cell r="F15">
            <v>0.5</v>
          </cell>
          <cell r="I15">
            <v>10890</v>
          </cell>
          <cell r="K15">
            <v>0</v>
          </cell>
          <cell r="L15">
            <v>5445</v>
          </cell>
        </row>
        <row r="16">
          <cell r="B16">
            <v>11</v>
          </cell>
          <cell r="C16" t="str">
            <v>CTÝnh</v>
          </cell>
          <cell r="D16" t="str">
            <v xml:space="preserve">V/c bª t«ng M50 </v>
          </cell>
          <cell r="E16" t="str">
            <v>m3</v>
          </cell>
          <cell r="F16">
            <v>0.252</v>
          </cell>
          <cell r="I16">
            <v>30374.152559999995</v>
          </cell>
          <cell r="K16">
            <v>0</v>
          </cell>
          <cell r="L16">
            <v>7654.2864451199985</v>
          </cell>
        </row>
        <row r="17">
          <cell r="B17">
            <v>12</v>
          </cell>
          <cell r="C17" t="str">
            <v>CTÝnh</v>
          </cell>
          <cell r="D17" t="str">
            <v xml:space="preserve">V/c bª t«ng M150 </v>
          </cell>
          <cell r="E17" t="str">
            <v>m3</v>
          </cell>
          <cell r="F17">
            <v>1.35</v>
          </cell>
          <cell r="I17">
            <v>31393.107650999998</v>
          </cell>
          <cell r="K17">
            <v>0</v>
          </cell>
          <cell r="L17">
            <v>42380.695328850001</v>
          </cell>
        </row>
        <row r="18">
          <cell r="B18">
            <v>13</v>
          </cell>
          <cell r="C18" t="str">
            <v>CTÝnh</v>
          </cell>
          <cell r="D18" t="str">
            <v xml:space="preserve">V/c bª t«ng M200 </v>
          </cell>
          <cell r="E18" t="str">
            <v>m3</v>
          </cell>
          <cell r="F18">
            <v>7.0000000000000007E-2</v>
          </cell>
          <cell r="I18">
            <v>31403.90049</v>
          </cell>
          <cell r="K18">
            <v>0</v>
          </cell>
          <cell r="L18">
            <v>2198.2730343000003</v>
          </cell>
        </row>
        <row r="19">
          <cell r="B19">
            <v>14</v>
          </cell>
          <cell r="C19" t="str">
            <v>CTÝnh</v>
          </cell>
          <cell r="D19" t="str">
            <v>V/c gç cèt pha + bèc dì</v>
          </cell>
          <cell r="E19" t="str">
            <v>m3</v>
          </cell>
          <cell r="F19">
            <v>0.1656</v>
          </cell>
          <cell r="I19">
            <v>14206</v>
          </cell>
          <cell r="L19">
            <v>2352.5135999999998</v>
          </cell>
        </row>
        <row r="20">
          <cell r="B20">
            <v>15</v>
          </cell>
          <cell r="C20" t="str">
            <v>02.1352</v>
          </cell>
          <cell r="D20" t="str">
            <v>V/c thÐp +bèc dì</v>
          </cell>
          <cell r="E20" t="str">
            <v>TÊn</v>
          </cell>
          <cell r="F20">
            <v>1.38E-2</v>
          </cell>
          <cell r="I20">
            <v>27757.71</v>
          </cell>
          <cell r="K20">
            <v>0</v>
          </cell>
          <cell r="L20">
            <v>383.056398</v>
          </cell>
        </row>
        <row r="21">
          <cell r="B21">
            <v>16</v>
          </cell>
          <cell r="C21" t="str">
            <v>CTÝnh</v>
          </cell>
          <cell r="D21" t="str">
            <v>V/c dông cô thi c«ng</v>
          </cell>
          <cell r="E21" t="str">
            <v>TÊn</v>
          </cell>
          <cell r="F21">
            <v>0.1</v>
          </cell>
          <cell r="I21">
            <v>23984.9</v>
          </cell>
          <cell r="K21">
            <v>0</v>
          </cell>
          <cell r="L21">
            <v>2398.4900000000002</v>
          </cell>
        </row>
        <row r="22">
          <cell r="A22">
            <v>2</v>
          </cell>
          <cell r="D22" t="str">
            <v>Mãng cét MT-3 (Cã ph¸ ®¸)</v>
          </cell>
          <cell r="K22">
            <v>573183.21600000001</v>
          </cell>
          <cell r="L22">
            <v>948239.00670500007</v>
          </cell>
          <cell r="M22">
            <v>182.72280000000001</v>
          </cell>
        </row>
        <row r="23">
          <cell r="B23">
            <v>1</v>
          </cell>
          <cell r="C23" t="str">
            <v>04.3101a</v>
          </cell>
          <cell r="D23" t="str">
            <v>Bª t«ng lãt M50</v>
          </cell>
          <cell r="E23" t="str">
            <v>m3</v>
          </cell>
          <cell r="F23">
            <v>0.252</v>
          </cell>
          <cell r="H23">
            <v>186516.995</v>
          </cell>
          <cell r="I23">
            <v>39733</v>
          </cell>
          <cell r="K23">
            <v>47002</v>
          </cell>
          <cell r="L23">
            <v>10012.716</v>
          </cell>
        </row>
        <row r="24">
          <cell r="B24">
            <v>2</v>
          </cell>
          <cell r="C24" t="str">
            <v>04.3102</v>
          </cell>
          <cell r="D24" t="str">
            <v>Bª t«ng ®óc M150</v>
          </cell>
          <cell r="E24" t="str">
            <v>m3</v>
          </cell>
          <cell r="F24">
            <v>1.28</v>
          </cell>
          <cell r="H24">
            <v>270382.03000000003</v>
          </cell>
          <cell r="I24">
            <v>45030</v>
          </cell>
          <cell r="K24">
            <v>346089</v>
          </cell>
          <cell r="L24">
            <v>57638.400000000001</v>
          </cell>
        </row>
        <row r="25">
          <cell r="B25">
            <v>3</v>
          </cell>
          <cell r="C25" t="str">
            <v>04.3103</v>
          </cell>
          <cell r="D25" t="str">
            <v>Bª t«ng chÌn M200</v>
          </cell>
          <cell r="E25" t="str">
            <v>m3</v>
          </cell>
          <cell r="F25">
            <v>0.14000000000000001</v>
          </cell>
          <cell r="H25">
            <v>282269.83</v>
          </cell>
          <cell r="I25">
            <v>45030</v>
          </cell>
          <cell r="K25">
            <v>39518</v>
          </cell>
          <cell r="L25">
            <v>6304.2000000000007</v>
          </cell>
        </row>
        <row r="26">
          <cell r="B26">
            <v>4</v>
          </cell>
          <cell r="C26" t="str">
            <v>04.1101</v>
          </cell>
          <cell r="D26" t="str">
            <v>Cèt thÐp CT3, d=8</v>
          </cell>
          <cell r="E26" t="str">
            <v>kg</v>
          </cell>
          <cell r="F26">
            <v>5</v>
          </cell>
          <cell r="G26">
            <v>1.02</v>
          </cell>
          <cell r="H26">
            <v>4268</v>
          </cell>
          <cell r="I26">
            <v>202</v>
          </cell>
          <cell r="J26">
            <v>16.899999999999999</v>
          </cell>
          <cell r="K26">
            <v>21766.799999999999</v>
          </cell>
          <cell r="L26">
            <v>1030.2</v>
          </cell>
          <cell r="M26">
            <v>86.19</v>
          </cell>
        </row>
        <row r="27">
          <cell r="B27">
            <v>5</v>
          </cell>
          <cell r="C27" t="str">
            <v>04.1101</v>
          </cell>
          <cell r="D27" t="str">
            <v>Cèt thÐp CT3, d=10</v>
          </cell>
          <cell r="E27" t="str">
            <v>kg</v>
          </cell>
          <cell r="F27">
            <v>5.6</v>
          </cell>
          <cell r="G27">
            <v>1.02</v>
          </cell>
          <cell r="H27">
            <v>4268</v>
          </cell>
          <cell r="I27">
            <v>202</v>
          </cell>
          <cell r="J27">
            <v>16.899999999999999</v>
          </cell>
          <cell r="K27">
            <v>24378.815999999995</v>
          </cell>
          <cell r="L27">
            <v>1153.8239999999998</v>
          </cell>
          <cell r="M27">
            <v>96.532799999999995</v>
          </cell>
        </row>
        <row r="28">
          <cell r="B28">
            <v>6</v>
          </cell>
          <cell r="C28" t="str">
            <v>04.2001</v>
          </cell>
          <cell r="D28" t="str">
            <v>GhÐp v¸n khu«n mãng</v>
          </cell>
          <cell r="E28" t="str">
            <v>m2</v>
          </cell>
          <cell r="F28">
            <v>5</v>
          </cell>
          <cell r="H28">
            <v>18600.12</v>
          </cell>
          <cell r="I28">
            <v>5309.19</v>
          </cell>
          <cell r="K28">
            <v>93000.599999999991</v>
          </cell>
          <cell r="L28">
            <v>26545.949999999997</v>
          </cell>
        </row>
        <row r="29">
          <cell r="B29">
            <v>7</v>
          </cell>
          <cell r="C29" t="str">
            <v>PL§G</v>
          </cell>
          <cell r="D29" t="str">
            <v>D©y thÐp buéc</v>
          </cell>
          <cell r="E29" t="str">
            <v>kg</v>
          </cell>
          <cell r="F29">
            <v>0.2</v>
          </cell>
          <cell r="G29">
            <v>1.02</v>
          </cell>
          <cell r="H29">
            <v>7000</v>
          </cell>
          <cell r="K29">
            <v>1428</v>
          </cell>
          <cell r="L29">
            <v>0</v>
          </cell>
        </row>
        <row r="30">
          <cell r="B30">
            <v>8</v>
          </cell>
          <cell r="C30" t="str">
            <v>03.8122</v>
          </cell>
          <cell r="D30" t="str">
            <v>Ph¸ ®¸</v>
          </cell>
          <cell r="E30" t="str">
            <v>m3</v>
          </cell>
          <cell r="F30">
            <v>15.55</v>
          </cell>
          <cell r="I30">
            <v>40615</v>
          </cell>
          <cell r="K30">
            <v>0</v>
          </cell>
          <cell r="L30">
            <v>631563.25</v>
          </cell>
        </row>
        <row r="31">
          <cell r="B31">
            <v>9</v>
          </cell>
          <cell r="C31" t="str">
            <v>03.2203</v>
          </cell>
          <cell r="D31" t="str">
            <v>LÊp ®Êt</v>
          </cell>
          <cell r="E31" t="str">
            <v>m3</v>
          </cell>
          <cell r="F31">
            <v>13.878</v>
          </cell>
          <cell r="I31">
            <v>10890</v>
          </cell>
          <cell r="K31">
            <v>0</v>
          </cell>
          <cell r="L31">
            <v>151131.42000000001</v>
          </cell>
        </row>
        <row r="32">
          <cell r="B32">
            <v>10</v>
          </cell>
          <cell r="C32" t="str">
            <v>03.2203</v>
          </cell>
          <cell r="D32" t="str">
            <v>§¾p ®Êt ch©n cét</v>
          </cell>
          <cell r="E32" t="str">
            <v>m3</v>
          </cell>
          <cell r="F32">
            <v>0.5</v>
          </cell>
          <cell r="I32">
            <v>10890</v>
          </cell>
          <cell r="K32">
            <v>0</v>
          </cell>
          <cell r="L32">
            <v>5445</v>
          </cell>
        </row>
        <row r="33">
          <cell r="B33">
            <v>11</v>
          </cell>
          <cell r="C33" t="str">
            <v>CTÝnh</v>
          </cell>
          <cell r="D33" t="str">
            <v xml:space="preserve">V/c bª t«ng M50 </v>
          </cell>
          <cell r="E33" t="str">
            <v>m3</v>
          </cell>
          <cell r="F33">
            <v>0.252</v>
          </cell>
          <cell r="I33">
            <v>30374.152559999995</v>
          </cell>
          <cell r="K33">
            <v>0</v>
          </cell>
          <cell r="L33">
            <v>7654.2864451199985</v>
          </cell>
        </row>
        <row r="34">
          <cell r="B34">
            <v>12</v>
          </cell>
          <cell r="C34" t="str">
            <v>CTÝnh</v>
          </cell>
          <cell r="D34" t="str">
            <v xml:space="preserve">V/c bª t«ng M150 </v>
          </cell>
          <cell r="E34" t="str">
            <v>m3</v>
          </cell>
          <cell r="F34">
            <v>1.28</v>
          </cell>
          <cell r="I34">
            <v>31393.107650999998</v>
          </cell>
          <cell r="K34">
            <v>0</v>
          </cell>
          <cell r="L34">
            <v>40183.177793279996</v>
          </cell>
        </row>
        <row r="35">
          <cell r="B35">
            <v>13</v>
          </cell>
          <cell r="C35" t="str">
            <v>CTÝnh</v>
          </cell>
          <cell r="D35" t="str">
            <v xml:space="preserve">V/c bª t«ng M200 </v>
          </cell>
          <cell r="E35" t="str">
            <v>m3</v>
          </cell>
          <cell r="F35">
            <v>0.14000000000000001</v>
          </cell>
          <cell r="I35">
            <v>31403.90049</v>
          </cell>
          <cell r="K35">
            <v>0</v>
          </cell>
          <cell r="L35">
            <v>4396.5460686000006</v>
          </cell>
        </row>
        <row r="36">
          <cell r="B36">
            <v>14</v>
          </cell>
          <cell r="C36" t="str">
            <v>02.1352</v>
          </cell>
          <cell r="D36" t="str">
            <v xml:space="preserve">v/c thÐp </v>
          </cell>
          <cell r="E36" t="str">
            <v>TÊn</v>
          </cell>
          <cell r="F36">
            <v>1.38E-2</v>
          </cell>
          <cell r="I36">
            <v>27757.71</v>
          </cell>
          <cell r="K36">
            <v>0</v>
          </cell>
          <cell r="L36">
            <v>383.056398</v>
          </cell>
        </row>
        <row r="37">
          <cell r="B37">
            <v>15</v>
          </cell>
          <cell r="C37" t="str">
            <v>CTÝnh</v>
          </cell>
          <cell r="D37" t="str">
            <v>V/c dông cô thi c«ng</v>
          </cell>
          <cell r="E37" t="str">
            <v>TÊn</v>
          </cell>
          <cell r="F37">
            <v>0.2</v>
          </cell>
          <cell r="I37">
            <v>23984.9</v>
          </cell>
          <cell r="K37">
            <v>0</v>
          </cell>
          <cell r="L37">
            <v>4796.9800000000005</v>
          </cell>
        </row>
        <row r="38">
          <cell r="A38">
            <v>3</v>
          </cell>
          <cell r="D38" t="str">
            <v>Mãng cét MT-4</v>
          </cell>
          <cell r="K38">
            <v>663185.30960000004</v>
          </cell>
          <cell r="L38">
            <v>463805.65251418995</v>
          </cell>
          <cell r="M38">
            <v>182.72280000000001</v>
          </cell>
        </row>
        <row r="39">
          <cell r="B39">
            <v>1</v>
          </cell>
          <cell r="C39" t="str">
            <v>04.3101a</v>
          </cell>
          <cell r="D39" t="str">
            <v>Bª t«ng lãt M50</v>
          </cell>
          <cell r="E39" t="str">
            <v>m3</v>
          </cell>
          <cell r="F39">
            <v>0.28000000000000003</v>
          </cell>
          <cell r="H39">
            <v>186516.995</v>
          </cell>
          <cell r="I39">
            <v>39733</v>
          </cell>
          <cell r="K39">
            <v>52224.758600000001</v>
          </cell>
          <cell r="L39">
            <v>11125.240000000002</v>
          </cell>
        </row>
        <row r="40">
          <cell r="B40">
            <v>2</v>
          </cell>
          <cell r="C40" t="str">
            <v>04.3312</v>
          </cell>
          <cell r="D40" t="str">
            <v>Bª t«ng ®óc M150</v>
          </cell>
          <cell r="E40" t="str">
            <v>m3</v>
          </cell>
          <cell r="F40">
            <v>1.59</v>
          </cell>
          <cell r="H40">
            <v>270382.03000000003</v>
          </cell>
          <cell r="I40">
            <v>45030</v>
          </cell>
          <cell r="K40">
            <v>429907.42770000006</v>
          </cell>
          <cell r="L40">
            <v>71597.7</v>
          </cell>
        </row>
        <row r="41">
          <cell r="B41">
            <v>3</v>
          </cell>
          <cell r="C41" t="str">
            <v>04.3313</v>
          </cell>
          <cell r="D41" t="str">
            <v>Bª t«ng chÌn M200</v>
          </cell>
          <cell r="E41" t="str">
            <v>m3</v>
          </cell>
          <cell r="F41">
            <v>7.0000000000000007E-2</v>
          </cell>
          <cell r="H41">
            <v>282269.83</v>
          </cell>
          <cell r="I41">
            <v>45030</v>
          </cell>
          <cell r="K41">
            <v>19758.888100000004</v>
          </cell>
          <cell r="L41">
            <v>3152.1000000000004</v>
          </cell>
        </row>
        <row r="42">
          <cell r="B42">
            <v>4</v>
          </cell>
          <cell r="C42" t="str">
            <v>04.1101</v>
          </cell>
          <cell r="D42" t="str">
            <v>Cèt thÐp CT3, d=8</v>
          </cell>
          <cell r="E42" t="str">
            <v>kg</v>
          </cell>
          <cell r="F42">
            <v>5</v>
          </cell>
          <cell r="G42">
            <v>1.02</v>
          </cell>
          <cell r="H42">
            <v>4620</v>
          </cell>
          <cell r="I42">
            <v>202</v>
          </cell>
          <cell r="J42">
            <v>16.899999999999999</v>
          </cell>
          <cell r="K42">
            <v>23562</v>
          </cell>
          <cell r="L42">
            <v>1030.2</v>
          </cell>
          <cell r="M42">
            <v>86.19</v>
          </cell>
        </row>
        <row r="43">
          <cell r="B43">
            <v>5</v>
          </cell>
          <cell r="C43" t="str">
            <v>04.1101</v>
          </cell>
          <cell r="D43" t="str">
            <v>Cèt thÐp CT3, d=10</v>
          </cell>
          <cell r="E43" t="str">
            <v>kg</v>
          </cell>
          <cell r="F43">
            <v>5.6</v>
          </cell>
          <cell r="G43">
            <v>1.02</v>
          </cell>
          <cell r="H43">
            <v>4460</v>
          </cell>
          <cell r="I43">
            <v>202</v>
          </cell>
          <cell r="J43">
            <v>16.899999999999999</v>
          </cell>
          <cell r="K43">
            <v>25475.519999999997</v>
          </cell>
          <cell r="L43">
            <v>1153.8239999999998</v>
          </cell>
          <cell r="M43">
            <v>96.532799999999995</v>
          </cell>
        </row>
        <row r="44">
          <cell r="B44">
            <v>6</v>
          </cell>
          <cell r="C44" t="str">
            <v>04.2001</v>
          </cell>
          <cell r="D44" t="str">
            <v>GhÐp v¸n khu«n mãng</v>
          </cell>
          <cell r="E44" t="str">
            <v>m2</v>
          </cell>
          <cell r="F44">
            <v>5.96</v>
          </cell>
          <cell r="H44">
            <v>18600.12</v>
          </cell>
          <cell r="I44">
            <v>5309.19</v>
          </cell>
          <cell r="K44">
            <v>110856.71519999999</v>
          </cell>
          <cell r="L44">
            <v>31642.772399999998</v>
          </cell>
        </row>
        <row r="45">
          <cell r="B45">
            <v>7</v>
          </cell>
          <cell r="C45" t="str">
            <v>Q4/2001</v>
          </cell>
          <cell r="D45" t="str">
            <v>D©y thÐp buéc</v>
          </cell>
          <cell r="E45" t="str">
            <v>kg</v>
          </cell>
          <cell r="F45">
            <v>0.2</v>
          </cell>
          <cell r="H45">
            <v>7000</v>
          </cell>
          <cell r="K45">
            <v>1400</v>
          </cell>
        </row>
        <row r="46">
          <cell r="B46">
            <v>8</v>
          </cell>
          <cell r="C46" t="str">
            <v>03.1113</v>
          </cell>
          <cell r="D46" t="str">
            <v>§µo ®Êt cÊp III s©u &lt;2m, S&lt;5m2</v>
          </cell>
          <cell r="E46" t="str">
            <v>m3</v>
          </cell>
          <cell r="F46">
            <v>8.32</v>
          </cell>
          <cell r="I46">
            <v>24428</v>
          </cell>
          <cell r="K46">
            <v>0</v>
          </cell>
          <cell r="L46">
            <v>203240.96000000002</v>
          </cell>
        </row>
        <row r="47">
          <cell r="B47">
            <v>9</v>
          </cell>
          <cell r="C47" t="str">
            <v>03.2203</v>
          </cell>
          <cell r="D47" t="str">
            <v>LÊp ®Êt</v>
          </cell>
          <cell r="E47" t="str">
            <v>m3</v>
          </cell>
          <cell r="F47">
            <v>6.38</v>
          </cell>
          <cell r="I47">
            <v>10890</v>
          </cell>
          <cell r="K47">
            <v>0</v>
          </cell>
          <cell r="L47">
            <v>69478.2</v>
          </cell>
        </row>
        <row r="48">
          <cell r="B48">
            <v>10</v>
          </cell>
          <cell r="C48" t="str">
            <v>03.2203</v>
          </cell>
          <cell r="D48" t="str">
            <v>§¾p ®Êt ch©n cét</v>
          </cell>
          <cell r="E48" t="str">
            <v>m3</v>
          </cell>
          <cell r="F48">
            <v>0.5</v>
          </cell>
          <cell r="I48">
            <v>10890</v>
          </cell>
          <cell r="K48">
            <v>0</v>
          </cell>
          <cell r="L48">
            <v>5445</v>
          </cell>
        </row>
        <row r="49">
          <cell r="B49">
            <v>11</v>
          </cell>
          <cell r="C49" t="str">
            <v>CTÝnh</v>
          </cell>
          <cell r="D49" t="str">
            <v xml:space="preserve">V/c bª t«ng M50 </v>
          </cell>
          <cell r="E49" t="str">
            <v>m3</v>
          </cell>
          <cell r="F49">
            <v>0.28000000000000003</v>
          </cell>
          <cell r="I49">
            <v>30374.152559999995</v>
          </cell>
          <cell r="K49">
            <v>0</v>
          </cell>
          <cell r="L49">
            <v>8504.7627167999999</v>
          </cell>
        </row>
        <row r="50">
          <cell r="B50">
            <v>12</v>
          </cell>
          <cell r="C50" t="str">
            <v>CTÝnh</v>
          </cell>
          <cell r="D50" t="str">
            <v xml:space="preserve">V/c bª t«ng M150 </v>
          </cell>
          <cell r="E50" t="str">
            <v>m3</v>
          </cell>
          <cell r="F50">
            <v>1.59</v>
          </cell>
          <cell r="I50">
            <v>31393.107650999998</v>
          </cell>
          <cell r="K50">
            <v>0</v>
          </cell>
          <cell r="L50">
            <v>49915.041165089999</v>
          </cell>
        </row>
        <row r="51">
          <cell r="B51">
            <v>13</v>
          </cell>
          <cell r="C51" t="str">
            <v>CTÝnh</v>
          </cell>
          <cell r="D51" t="str">
            <v xml:space="preserve">V/c bª t«ng M200 </v>
          </cell>
          <cell r="E51" t="str">
            <v>m3</v>
          </cell>
          <cell r="F51">
            <v>7.0000000000000007E-2</v>
          </cell>
          <cell r="I51">
            <v>31403.90049</v>
          </cell>
          <cell r="K51">
            <v>0</v>
          </cell>
          <cell r="L51">
            <v>2198.2730343000003</v>
          </cell>
        </row>
        <row r="52">
          <cell r="B52">
            <v>14</v>
          </cell>
          <cell r="C52" t="str">
            <v>CTÝnh</v>
          </cell>
          <cell r="D52" t="str">
            <v>V/c cèt pha</v>
          </cell>
          <cell r="E52" t="str">
            <v>m3</v>
          </cell>
          <cell r="F52">
            <v>0.17879999999999999</v>
          </cell>
          <cell r="I52">
            <v>14206</v>
          </cell>
          <cell r="L52">
            <v>2540.0328</v>
          </cell>
        </row>
        <row r="53">
          <cell r="B53">
            <v>15</v>
          </cell>
          <cell r="C53" t="str">
            <v>02.1352</v>
          </cell>
          <cell r="D53" t="str">
            <v>V/c thÐp +bèc dì</v>
          </cell>
          <cell r="E53" t="str">
            <v>TÊn</v>
          </cell>
          <cell r="F53">
            <v>1.38E-2</v>
          </cell>
          <cell r="I53">
            <v>27757.71</v>
          </cell>
          <cell r="K53">
            <v>0</v>
          </cell>
          <cell r="L53">
            <v>383.056398</v>
          </cell>
        </row>
        <row r="54">
          <cell r="B54">
            <v>16</v>
          </cell>
          <cell r="C54" t="str">
            <v>CTÝnh</v>
          </cell>
          <cell r="D54" t="str">
            <v>V/c dông cô thi c«ng</v>
          </cell>
          <cell r="E54" t="str">
            <v>TÊn</v>
          </cell>
          <cell r="F54">
            <v>0.1</v>
          </cell>
          <cell r="I54">
            <v>23984.9</v>
          </cell>
          <cell r="K54">
            <v>0</v>
          </cell>
          <cell r="L54">
            <v>2398.4900000000002</v>
          </cell>
        </row>
        <row r="55">
          <cell r="A55">
            <v>4</v>
          </cell>
          <cell r="D55" t="str">
            <v>Mãng cét MT-4a</v>
          </cell>
          <cell r="K55">
            <v>652570.27600000007</v>
          </cell>
          <cell r="L55">
            <v>750477.05781291996</v>
          </cell>
          <cell r="M55">
            <v>183.804</v>
          </cell>
        </row>
        <row r="56">
          <cell r="B56">
            <v>1</v>
          </cell>
          <cell r="C56" t="str">
            <v>04.3101a</v>
          </cell>
          <cell r="D56" t="str">
            <v>Bª t«ng lãt M50</v>
          </cell>
          <cell r="E56" t="str">
            <v>m3</v>
          </cell>
          <cell r="F56">
            <v>0.28000000000000003</v>
          </cell>
          <cell r="H56">
            <v>186516.995</v>
          </cell>
          <cell r="I56">
            <v>39733</v>
          </cell>
          <cell r="K56">
            <v>52225</v>
          </cell>
          <cell r="L56">
            <v>11125.240000000002</v>
          </cell>
        </row>
        <row r="57">
          <cell r="B57">
            <v>2</v>
          </cell>
          <cell r="C57" t="str">
            <v>04.3102</v>
          </cell>
          <cell r="D57" t="str">
            <v>Bª t«ng ®óc M150</v>
          </cell>
          <cell r="E57" t="str">
            <v>m3</v>
          </cell>
          <cell r="F57">
            <v>1.52</v>
          </cell>
          <cell r="H57">
            <v>270382.03000000003</v>
          </cell>
          <cell r="I57">
            <v>45030</v>
          </cell>
          <cell r="K57">
            <v>410981</v>
          </cell>
          <cell r="L57">
            <v>68445.600000000006</v>
          </cell>
        </row>
        <row r="58">
          <cell r="B58">
            <v>3</v>
          </cell>
          <cell r="C58" t="str">
            <v>04.3103</v>
          </cell>
          <cell r="D58" t="str">
            <v>Bª t«ng chÌn M200</v>
          </cell>
          <cell r="E58" t="str">
            <v>m3</v>
          </cell>
          <cell r="F58">
            <v>0.14000000000000001</v>
          </cell>
          <cell r="H58">
            <v>282269.83</v>
          </cell>
          <cell r="I58">
            <v>45030</v>
          </cell>
          <cell r="K58">
            <v>39518</v>
          </cell>
          <cell r="L58">
            <v>6304.2000000000007</v>
          </cell>
        </row>
        <row r="59">
          <cell r="B59">
            <v>4</v>
          </cell>
          <cell r="C59" t="str">
            <v>04.1101</v>
          </cell>
          <cell r="D59" t="str">
            <v>Cèt thÐp CT3, d=8</v>
          </cell>
          <cell r="E59" t="str">
            <v>kg</v>
          </cell>
          <cell r="F59">
            <v>5</v>
          </cell>
          <cell r="G59">
            <v>1.02</v>
          </cell>
          <cell r="H59">
            <v>4268</v>
          </cell>
          <cell r="I59">
            <v>202</v>
          </cell>
          <cell r="J59">
            <v>17</v>
          </cell>
          <cell r="K59">
            <v>21766.799999999999</v>
          </cell>
          <cell r="L59">
            <v>1030.2</v>
          </cell>
          <cell r="M59">
            <v>86.7</v>
          </cell>
        </row>
        <row r="60">
          <cell r="B60">
            <v>5</v>
          </cell>
          <cell r="C60" t="str">
            <v>04.1101</v>
          </cell>
          <cell r="D60" t="str">
            <v>Cèt thÐp CT3, d=10</v>
          </cell>
          <cell r="E60" t="str">
            <v>kg</v>
          </cell>
          <cell r="F60">
            <v>5.6</v>
          </cell>
          <cell r="G60">
            <v>1.02</v>
          </cell>
          <cell r="H60">
            <v>4268</v>
          </cell>
          <cell r="I60">
            <v>202</v>
          </cell>
          <cell r="J60">
            <v>17</v>
          </cell>
          <cell r="K60">
            <v>24378.815999999995</v>
          </cell>
          <cell r="L60">
            <v>1153.8239999999998</v>
          </cell>
          <cell r="M60">
            <v>97.103999999999999</v>
          </cell>
        </row>
        <row r="61">
          <cell r="B61">
            <v>6</v>
          </cell>
          <cell r="C61" t="str">
            <v>04.2001</v>
          </cell>
          <cell r="D61" t="str">
            <v>GhÐp v¸n khu«n mãng</v>
          </cell>
          <cell r="E61" t="str">
            <v>m2</v>
          </cell>
          <cell r="F61">
            <v>5.5</v>
          </cell>
          <cell r="H61">
            <v>18600.12</v>
          </cell>
          <cell r="I61">
            <v>5309.19</v>
          </cell>
          <cell r="K61">
            <v>102300.65999999999</v>
          </cell>
          <cell r="L61">
            <v>29200.544999999998</v>
          </cell>
        </row>
        <row r="62">
          <cell r="B62">
            <v>7</v>
          </cell>
          <cell r="C62" t="str">
            <v>PL§G</v>
          </cell>
          <cell r="D62" t="str">
            <v>D©y thÐp buéc</v>
          </cell>
          <cell r="E62" t="str">
            <v>kg</v>
          </cell>
          <cell r="F62">
            <v>0.2</v>
          </cell>
          <cell r="H62">
            <v>7000</v>
          </cell>
          <cell r="K62">
            <v>1400</v>
          </cell>
          <cell r="L62">
            <v>0</v>
          </cell>
        </row>
        <row r="63">
          <cell r="B63">
            <v>8</v>
          </cell>
          <cell r="C63" t="str">
            <v>03.1113</v>
          </cell>
          <cell r="D63" t="str">
            <v>§µo ®Êt cÊp III s©u &lt;2m, S&lt;5m2</v>
          </cell>
          <cell r="E63" t="str">
            <v>m3</v>
          </cell>
          <cell r="F63">
            <v>16.510000000000002</v>
          </cell>
          <cell r="I63">
            <v>24428</v>
          </cell>
          <cell r="K63">
            <v>0</v>
          </cell>
          <cell r="L63">
            <v>403306.28</v>
          </cell>
        </row>
        <row r="64">
          <cell r="B64">
            <v>9</v>
          </cell>
          <cell r="C64" t="str">
            <v>03.2203</v>
          </cell>
          <cell r="D64" t="str">
            <v>LÊp ®Êt</v>
          </cell>
          <cell r="E64" t="str">
            <v>m3</v>
          </cell>
          <cell r="F64">
            <v>14.570000000000002</v>
          </cell>
          <cell r="I64">
            <v>10890</v>
          </cell>
          <cell r="K64">
            <v>0</v>
          </cell>
          <cell r="L64">
            <v>158667.30000000002</v>
          </cell>
        </row>
        <row r="65">
          <cell r="B65">
            <v>10</v>
          </cell>
          <cell r="C65" t="str">
            <v>03.2203</v>
          </cell>
          <cell r="D65" t="str">
            <v>§¾p ®Êt ch©n cét</v>
          </cell>
          <cell r="E65" t="str">
            <v>m3</v>
          </cell>
          <cell r="F65">
            <v>0.5</v>
          </cell>
          <cell r="I65">
            <v>10890</v>
          </cell>
          <cell r="K65">
            <v>0</v>
          </cell>
          <cell r="L65">
            <v>5445</v>
          </cell>
        </row>
        <row r="66">
          <cell r="B66">
            <v>11</v>
          </cell>
          <cell r="C66" t="str">
            <v>CTÝnh</v>
          </cell>
          <cell r="D66" t="str">
            <v xml:space="preserve">V/c bª t«ng M50 </v>
          </cell>
          <cell r="E66" t="str">
            <v>m3</v>
          </cell>
          <cell r="F66">
            <v>0.28000000000000003</v>
          </cell>
          <cell r="I66">
            <v>30374.152559999995</v>
          </cell>
          <cell r="K66">
            <v>0</v>
          </cell>
          <cell r="L66">
            <v>8504.7627167999999</v>
          </cell>
        </row>
        <row r="67">
          <cell r="B67">
            <v>12</v>
          </cell>
          <cell r="C67" t="str">
            <v>CTÝnh</v>
          </cell>
          <cell r="D67" t="str">
            <v xml:space="preserve">V/c bª t«ng M150 </v>
          </cell>
          <cell r="E67" t="str">
            <v>m3</v>
          </cell>
          <cell r="F67">
            <v>1.52</v>
          </cell>
          <cell r="I67">
            <v>31393.107650999998</v>
          </cell>
          <cell r="K67">
            <v>0</v>
          </cell>
          <cell r="L67">
            <v>47717.523629520001</v>
          </cell>
        </row>
        <row r="68">
          <cell r="B68">
            <v>13</v>
          </cell>
          <cell r="C68" t="str">
            <v>CTÝnh</v>
          </cell>
          <cell r="D68" t="str">
            <v xml:space="preserve">V/c bª t«ng M200 </v>
          </cell>
          <cell r="E68" t="str">
            <v>m3</v>
          </cell>
          <cell r="F68">
            <v>0.14000000000000001</v>
          </cell>
          <cell r="I68">
            <v>31403.90049</v>
          </cell>
          <cell r="K68">
            <v>0</v>
          </cell>
          <cell r="L68">
            <v>4396.5460686000006</v>
          </cell>
        </row>
        <row r="69">
          <cell r="B69">
            <v>14</v>
          </cell>
          <cell r="C69" t="str">
            <v>02.1352</v>
          </cell>
          <cell r="D69" t="str">
            <v xml:space="preserve">V/c thÐp </v>
          </cell>
          <cell r="E69" t="str">
            <v>TÊn</v>
          </cell>
          <cell r="F69">
            <v>1.38E-2</v>
          </cell>
          <cell r="I69">
            <v>27757.71</v>
          </cell>
          <cell r="K69">
            <v>0</v>
          </cell>
          <cell r="L69">
            <v>383.056398</v>
          </cell>
        </row>
        <row r="70">
          <cell r="B70">
            <v>15</v>
          </cell>
          <cell r="C70" t="str">
            <v>CTÝnh</v>
          </cell>
          <cell r="D70" t="str">
            <v>V/c dông cô thi c«ng</v>
          </cell>
          <cell r="E70" t="str">
            <v>TÊn</v>
          </cell>
          <cell r="F70">
            <v>0.2</v>
          </cell>
          <cell r="I70">
            <v>23984.9</v>
          </cell>
          <cell r="K70">
            <v>0</v>
          </cell>
          <cell r="L70">
            <v>4796.9800000000005</v>
          </cell>
        </row>
        <row r="71">
          <cell r="A71">
            <v>5</v>
          </cell>
          <cell r="D71" t="str">
            <v>Mãng cét MT-5</v>
          </cell>
          <cell r="K71">
            <v>736654.33600000001</v>
          </cell>
          <cell r="L71">
            <v>853345.36705823999</v>
          </cell>
          <cell r="M71">
            <v>183.804</v>
          </cell>
        </row>
        <row r="72">
          <cell r="B72">
            <v>1</v>
          </cell>
          <cell r="C72" t="str">
            <v>04.3101a</v>
          </cell>
          <cell r="D72" t="str">
            <v>Bª t«ng lãt M50</v>
          </cell>
          <cell r="E72" t="str">
            <v>m3</v>
          </cell>
          <cell r="F72">
            <v>0.35199999999999998</v>
          </cell>
          <cell r="H72">
            <v>186516.995</v>
          </cell>
          <cell r="I72">
            <v>39733</v>
          </cell>
          <cell r="K72">
            <v>65654</v>
          </cell>
          <cell r="L72">
            <v>13986.016</v>
          </cell>
        </row>
        <row r="73">
          <cell r="B73">
            <v>2</v>
          </cell>
          <cell r="C73" t="str">
            <v>04.3102</v>
          </cell>
          <cell r="D73" t="str">
            <v>Bª t«ng ®óc M150</v>
          </cell>
          <cell r="E73" t="str">
            <v>m3</v>
          </cell>
          <cell r="F73">
            <v>1.82</v>
          </cell>
          <cell r="H73">
            <v>270382.03000000003</v>
          </cell>
          <cell r="I73">
            <v>45030</v>
          </cell>
          <cell r="K73">
            <v>492095</v>
          </cell>
          <cell r="L73">
            <v>81954.600000000006</v>
          </cell>
        </row>
        <row r="74">
          <cell r="B74">
            <v>3</v>
          </cell>
          <cell r="C74" t="str">
            <v>04.3103</v>
          </cell>
          <cell r="D74" t="str">
            <v>Bª t«ng chÌn M200</v>
          </cell>
          <cell r="E74" t="str">
            <v>m3</v>
          </cell>
          <cell r="F74">
            <v>7.0000000000000007E-2</v>
          </cell>
          <cell r="H74">
            <v>282269.83</v>
          </cell>
          <cell r="I74">
            <v>45030</v>
          </cell>
          <cell r="K74">
            <v>19759</v>
          </cell>
          <cell r="L74">
            <v>3152.1000000000004</v>
          </cell>
        </row>
        <row r="75">
          <cell r="B75">
            <v>4</v>
          </cell>
          <cell r="C75" t="str">
            <v>04.1101</v>
          </cell>
          <cell r="D75" t="str">
            <v>Cèt thÐp CT3, d=8</v>
          </cell>
          <cell r="E75" t="str">
            <v>kg</v>
          </cell>
          <cell r="F75">
            <v>5</v>
          </cell>
          <cell r="G75">
            <v>1.02</v>
          </cell>
          <cell r="H75">
            <v>4268</v>
          </cell>
          <cell r="I75">
            <v>202</v>
          </cell>
          <cell r="J75">
            <v>17</v>
          </cell>
          <cell r="K75">
            <v>21766.799999999999</v>
          </cell>
          <cell r="L75">
            <v>1030.2</v>
          </cell>
          <cell r="M75">
            <v>86.7</v>
          </cell>
        </row>
        <row r="76">
          <cell r="B76">
            <v>5</v>
          </cell>
          <cell r="C76" t="str">
            <v>04.1101</v>
          </cell>
          <cell r="D76" t="str">
            <v>Cèt thÐp CT3, d=10</v>
          </cell>
          <cell r="E76" t="str">
            <v>kg</v>
          </cell>
          <cell r="F76">
            <v>5.6</v>
          </cell>
          <cell r="G76">
            <v>1.02</v>
          </cell>
          <cell r="H76">
            <v>4268</v>
          </cell>
          <cell r="I76">
            <v>202</v>
          </cell>
          <cell r="J76">
            <v>17</v>
          </cell>
          <cell r="K76">
            <v>24378.815999999995</v>
          </cell>
          <cell r="L76">
            <v>1153.8239999999998</v>
          </cell>
          <cell r="M76">
            <v>97.103999999999999</v>
          </cell>
        </row>
        <row r="77">
          <cell r="B77">
            <v>6</v>
          </cell>
          <cell r="C77" t="str">
            <v>04.2001</v>
          </cell>
          <cell r="D77" t="str">
            <v>GhÐp v¸n khu«n mãng</v>
          </cell>
          <cell r="E77" t="str">
            <v>m2</v>
          </cell>
          <cell r="F77">
            <v>6</v>
          </cell>
          <cell r="H77">
            <v>18600.12</v>
          </cell>
          <cell r="I77">
            <v>5309.19</v>
          </cell>
          <cell r="K77">
            <v>111600.72</v>
          </cell>
          <cell r="L77">
            <v>31855.14</v>
          </cell>
        </row>
        <row r="78">
          <cell r="B78">
            <v>7</v>
          </cell>
          <cell r="C78" t="str">
            <v>PL§G</v>
          </cell>
          <cell r="D78" t="str">
            <v>D©y thÐp buéc</v>
          </cell>
          <cell r="E78" t="str">
            <v>kg</v>
          </cell>
          <cell r="F78">
            <v>0.2</v>
          </cell>
          <cell r="H78">
            <v>7000</v>
          </cell>
          <cell r="K78">
            <v>1400</v>
          </cell>
          <cell r="L78">
            <v>0</v>
          </cell>
        </row>
        <row r="79">
          <cell r="B79">
            <v>8</v>
          </cell>
          <cell r="C79" t="str">
            <v>03.1113</v>
          </cell>
          <cell r="D79" t="str">
            <v>§µo ®Êt cÊp III s©u &lt;2m, S&lt;5m2</v>
          </cell>
          <cell r="E79" t="str">
            <v>m3</v>
          </cell>
          <cell r="F79">
            <v>18.8</v>
          </cell>
          <cell r="I79">
            <v>24428</v>
          </cell>
          <cell r="K79">
            <v>0</v>
          </cell>
          <cell r="L79">
            <v>459246.4</v>
          </cell>
        </row>
        <row r="80">
          <cell r="B80">
            <v>9</v>
          </cell>
          <cell r="C80" t="str">
            <v>03.2203</v>
          </cell>
          <cell r="D80" t="str">
            <v>LÊp ®Êt</v>
          </cell>
          <cell r="E80" t="str">
            <v>m3</v>
          </cell>
          <cell r="F80">
            <v>16.558</v>
          </cell>
          <cell r="I80">
            <v>10890</v>
          </cell>
          <cell r="K80">
            <v>0</v>
          </cell>
          <cell r="L80">
            <v>180316.62</v>
          </cell>
        </row>
        <row r="81">
          <cell r="B81">
            <v>10</v>
          </cell>
          <cell r="C81" t="str">
            <v>03.2203</v>
          </cell>
          <cell r="D81" t="str">
            <v>§¾p ®Êt ch©n cét</v>
          </cell>
          <cell r="E81" t="str">
            <v>m3</v>
          </cell>
          <cell r="F81">
            <v>0.5</v>
          </cell>
          <cell r="I81">
            <v>10890</v>
          </cell>
          <cell r="K81">
            <v>0</v>
          </cell>
          <cell r="L81">
            <v>5445</v>
          </cell>
        </row>
        <row r="82">
          <cell r="B82">
            <v>11</v>
          </cell>
          <cell r="C82" t="str">
            <v>CTÝnh</v>
          </cell>
          <cell r="D82" t="str">
            <v xml:space="preserve">V/c bª t«ng M50 </v>
          </cell>
          <cell r="E82" t="str">
            <v>m3</v>
          </cell>
          <cell r="F82">
            <v>0.35199999999999998</v>
          </cell>
          <cell r="I82">
            <v>30374.152559999995</v>
          </cell>
          <cell r="K82">
            <v>0</v>
          </cell>
          <cell r="L82">
            <v>10691.701701119997</v>
          </cell>
        </row>
        <row r="83">
          <cell r="B83">
            <v>12</v>
          </cell>
          <cell r="C83" t="str">
            <v>CTÝnh</v>
          </cell>
          <cell r="D83" t="str">
            <v xml:space="preserve">V/c bª t«ng M150 </v>
          </cell>
          <cell r="E83" t="str">
            <v>m3</v>
          </cell>
          <cell r="F83">
            <v>1.82</v>
          </cell>
          <cell r="I83">
            <v>31393.107650999998</v>
          </cell>
          <cell r="K83">
            <v>0</v>
          </cell>
          <cell r="L83">
            <v>57135.455924820002</v>
          </cell>
        </row>
        <row r="84">
          <cell r="B84">
            <v>13</v>
          </cell>
          <cell r="C84" t="str">
            <v>CTÝnh</v>
          </cell>
          <cell r="D84" t="str">
            <v xml:space="preserve">V/c bª t«ng M200 </v>
          </cell>
          <cell r="E84" t="str">
            <v>m3</v>
          </cell>
          <cell r="F84">
            <v>7.0000000000000007E-2</v>
          </cell>
          <cell r="I84">
            <v>31403.90049</v>
          </cell>
          <cell r="K84">
            <v>0</v>
          </cell>
          <cell r="L84">
            <v>2198.2730343000003</v>
          </cell>
        </row>
        <row r="85">
          <cell r="B85">
            <v>14</v>
          </cell>
          <cell r="C85" t="str">
            <v>02.1352</v>
          </cell>
          <cell r="D85" t="str">
            <v xml:space="preserve">V/c thÐp </v>
          </cell>
          <cell r="E85" t="str">
            <v>TÊn</v>
          </cell>
          <cell r="F85">
            <v>1.38E-2</v>
          </cell>
          <cell r="I85">
            <v>27757.71</v>
          </cell>
          <cell r="K85">
            <v>0</v>
          </cell>
          <cell r="L85">
            <v>383.056398</v>
          </cell>
        </row>
        <row r="86">
          <cell r="B86">
            <v>15</v>
          </cell>
          <cell r="C86" t="str">
            <v>CTÝnh</v>
          </cell>
          <cell r="D86" t="str">
            <v>V/c dông cô thi c«ng</v>
          </cell>
          <cell r="E86" t="str">
            <v>TÊn</v>
          </cell>
          <cell r="F86">
            <v>0.2</v>
          </cell>
          <cell r="I86">
            <v>23984.9</v>
          </cell>
          <cell r="K86">
            <v>0</v>
          </cell>
          <cell r="L86">
            <v>4796.9800000000005</v>
          </cell>
        </row>
        <row r="87">
          <cell r="A87">
            <v>6</v>
          </cell>
          <cell r="D87" t="str">
            <v>Mãng cét MT-5a</v>
          </cell>
          <cell r="K87">
            <v>737487.33600000001</v>
          </cell>
          <cell r="L87">
            <v>853346.12255696999</v>
          </cell>
          <cell r="M87">
            <v>183.804</v>
          </cell>
        </row>
        <row r="88">
          <cell r="B88">
            <v>1</v>
          </cell>
          <cell r="C88" t="str">
            <v>04.3101a</v>
          </cell>
          <cell r="D88" t="str">
            <v>Bª t«ng lãt M50</v>
          </cell>
          <cell r="E88" t="str">
            <v>m3</v>
          </cell>
          <cell r="F88">
            <v>0.35199999999999998</v>
          </cell>
          <cell r="H88">
            <v>186516.995</v>
          </cell>
          <cell r="I88">
            <v>39733</v>
          </cell>
          <cell r="K88">
            <v>65654</v>
          </cell>
          <cell r="L88">
            <v>13986.016</v>
          </cell>
        </row>
        <row r="89">
          <cell r="B89">
            <v>2</v>
          </cell>
          <cell r="C89" t="str">
            <v>04.3102</v>
          </cell>
          <cell r="D89" t="str">
            <v>Bª t«ng ®óc M150</v>
          </cell>
          <cell r="E89" t="str">
            <v>m3</v>
          </cell>
          <cell r="F89">
            <v>1.75</v>
          </cell>
          <cell r="H89">
            <v>270382.03000000003</v>
          </cell>
          <cell r="I89">
            <v>45030</v>
          </cell>
          <cell r="K89">
            <v>473169</v>
          </cell>
          <cell r="L89">
            <v>78802.5</v>
          </cell>
        </row>
        <row r="90">
          <cell r="B90">
            <v>3</v>
          </cell>
          <cell r="C90" t="str">
            <v>04.3103</v>
          </cell>
          <cell r="D90" t="str">
            <v>Bª t«ng chÌn M200</v>
          </cell>
          <cell r="E90" t="str">
            <v>m3</v>
          </cell>
          <cell r="F90">
            <v>0.14000000000000001</v>
          </cell>
          <cell r="H90">
            <v>282269.83</v>
          </cell>
          <cell r="I90">
            <v>45030</v>
          </cell>
          <cell r="K90">
            <v>39518</v>
          </cell>
          <cell r="L90">
            <v>6304.2000000000007</v>
          </cell>
        </row>
        <row r="91">
          <cell r="B91">
            <v>4</v>
          </cell>
          <cell r="C91" t="str">
            <v>04.1101</v>
          </cell>
          <cell r="D91" t="str">
            <v>Cèt thÐp CT3, d=8</v>
          </cell>
          <cell r="E91" t="str">
            <v>kg</v>
          </cell>
          <cell r="F91">
            <v>5</v>
          </cell>
          <cell r="G91">
            <v>1.02</v>
          </cell>
          <cell r="H91">
            <v>4268</v>
          </cell>
          <cell r="I91">
            <v>202</v>
          </cell>
          <cell r="J91">
            <v>17</v>
          </cell>
          <cell r="K91">
            <v>21766.799999999999</v>
          </cell>
          <cell r="L91">
            <v>1030.2</v>
          </cell>
          <cell r="M91">
            <v>86.7</v>
          </cell>
        </row>
        <row r="92">
          <cell r="B92">
            <v>5</v>
          </cell>
          <cell r="C92" t="str">
            <v>04.1101</v>
          </cell>
          <cell r="D92" t="str">
            <v>Cèt thÐp CT3, d=10</v>
          </cell>
          <cell r="E92" t="str">
            <v>kg</v>
          </cell>
          <cell r="F92">
            <v>5.6</v>
          </cell>
          <cell r="G92">
            <v>1.02</v>
          </cell>
          <cell r="H92">
            <v>4268</v>
          </cell>
          <cell r="I92">
            <v>202</v>
          </cell>
          <cell r="J92">
            <v>17</v>
          </cell>
          <cell r="K92">
            <v>24378.815999999995</v>
          </cell>
          <cell r="L92">
            <v>1153.8239999999998</v>
          </cell>
          <cell r="M92">
            <v>97.103999999999999</v>
          </cell>
        </row>
        <row r="93">
          <cell r="B93">
            <v>6</v>
          </cell>
          <cell r="C93" t="str">
            <v>04.2001</v>
          </cell>
          <cell r="D93" t="str">
            <v>GhÐp v¸n khu«n mãng</v>
          </cell>
          <cell r="E93" t="str">
            <v>m2</v>
          </cell>
          <cell r="F93">
            <v>6</v>
          </cell>
          <cell r="H93">
            <v>18600.12</v>
          </cell>
          <cell r="I93">
            <v>5309.19</v>
          </cell>
          <cell r="K93">
            <v>111600.72</v>
          </cell>
          <cell r="L93">
            <v>31855.14</v>
          </cell>
        </row>
        <row r="94">
          <cell r="B94">
            <v>7</v>
          </cell>
          <cell r="C94" t="str">
            <v>PL§G</v>
          </cell>
          <cell r="D94" t="str">
            <v>D©y thÐp buéc</v>
          </cell>
          <cell r="E94" t="str">
            <v>kg</v>
          </cell>
          <cell r="F94">
            <v>0.2</v>
          </cell>
          <cell r="H94">
            <v>7000</v>
          </cell>
          <cell r="K94">
            <v>1400</v>
          </cell>
          <cell r="L94">
            <v>0</v>
          </cell>
        </row>
        <row r="95">
          <cell r="B95">
            <v>8</v>
          </cell>
          <cell r="C95" t="str">
            <v>03.1113</v>
          </cell>
          <cell r="D95" t="str">
            <v>§µo ®Êt cÊp III s©u &lt;2m, S&lt;5m2</v>
          </cell>
          <cell r="E95" t="str">
            <v>m3</v>
          </cell>
          <cell r="F95">
            <v>18.8</v>
          </cell>
          <cell r="I95">
            <v>24428</v>
          </cell>
          <cell r="K95">
            <v>0</v>
          </cell>
          <cell r="L95">
            <v>459246.4</v>
          </cell>
        </row>
        <row r="96">
          <cell r="B96">
            <v>9</v>
          </cell>
          <cell r="C96" t="str">
            <v>03.2203</v>
          </cell>
          <cell r="D96" t="str">
            <v>LÊp ®Êt</v>
          </cell>
          <cell r="E96" t="str">
            <v>m3</v>
          </cell>
          <cell r="F96">
            <v>16.558</v>
          </cell>
          <cell r="I96">
            <v>10890</v>
          </cell>
          <cell r="K96">
            <v>0</v>
          </cell>
          <cell r="L96">
            <v>180316.62</v>
          </cell>
        </row>
        <row r="97">
          <cell r="B97">
            <v>10</v>
          </cell>
          <cell r="C97" t="str">
            <v>03.2203</v>
          </cell>
          <cell r="D97" t="str">
            <v>§¾p ®Êt ch©n cét</v>
          </cell>
          <cell r="E97" t="str">
            <v>m3</v>
          </cell>
          <cell r="F97">
            <v>0.5</v>
          </cell>
          <cell r="I97">
            <v>10890</v>
          </cell>
          <cell r="K97">
            <v>0</v>
          </cell>
          <cell r="L97">
            <v>5445</v>
          </cell>
        </row>
        <row r="98">
          <cell r="B98">
            <v>11</v>
          </cell>
          <cell r="C98" t="str">
            <v>CTÝnh</v>
          </cell>
          <cell r="D98" t="str">
            <v xml:space="preserve">V/c bª t«ng M50 </v>
          </cell>
          <cell r="E98" t="str">
            <v>m3</v>
          </cell>
          <cell r="F98">
            <v>0.35199999999999998</v>
          </cell>
          <cell r="I98">
            <v>30374.152559999995</v>
          </cell>
          <cell r="K98">
            <v>0</v>
          </cell>
          <cell r="L98">
            <v>10691.701701119997</v>
          </cell>
        </row>
        <row r="99">
          <cell r="B99">
            <v>12</v>
          </cell>
          <cell r="C99" t="str">
            <v>CTÝnh</v>
          </cell>
          <cell r="D99" t="str">
            <v xml:space="preserve">V/c bª t«ng M150 </v>
          </cell>
          <cell r="E99" t="str">
            <v>m3</v>
          </cell>
          <cell r="F99">
            <v>1.75</v>
          </cell>
          <cell r="I99">
            <v>31393.107650999998</v>
          </cell>
          <cell r="K99">
            <v>0</v>
          </cell>
          <cell r="L99">
            <v>54937.938389249997</v>
          </cell>
        </row>
        <row r="100">
          <cell r="B100">
            <v>13</v>
          </cell>
          <cell r="C100" t="str">
            <v>CTÝnh</v>
          </cell>
          <cell r="D100" t="str">
            <v xml:space="preserve">V/c bª t«ng M200 </v>
          </cell>
          <cell r="E100" t="str">
            <v>m3</v>
          </cell>
          <cell r="F100">
            <v>0.14000000000000001</v>
          </cell>
          <cell r="I100">
            <v>31403.90049</v>
          </cell>
          <cell r="K100">
            <v>0</v>
          </cell>
          <cell r="L100">
            <v>4396.5460686000006</v>
          </cell>
        </row>
        <row r="101">
          <cell r="B101">
            <v>14</v>
          </cell>
          <cell r="C101" t="str">
            <v>02.1352</v>
          </cell>
          <cell r="D101" t="str">
            <v xml:space="preserve">v/c thÐp </v>
          </cell>
          <cell r="E101" t="str">
            <v>TÊn</v>
          </cell>
          <cell r="F101">
            <v>1.38E-2</v>
          </cell>
          <cell r="I101">
            <v>27757.71</v>
          </cell>
          <cell r="K101">
            <v>0</v>
          </cell>
          <cell r="L101">
            <v>383.056398</v>
          </cell>
        </row>
        <row r="102">
          <cell r="B102">
            <v>15</v>
          </cell>
          <cell r="C102" t="str">
            <v>CTÝnh</v>
          </cell>
          <cell r="D102" t="str">
            <v>V/c dông cô thi c«ng</v>
          </cell>
          <cell r="E102" t="str">
            <v>TÊn</v>
          </cell>
          <cell r="F102">
            <v>0.2</v>
          </cell>
          <cell r="I102">
            <v>23984.9</v>
          </cell>
          <cell r="K102">
            <v>0</v>
          </cell>
          <cell r="L102">
            <v>4796.9800000000005</v>
          </cell>
        </row>
        <row r="103">
          <cell r="A103">
            <v>7</v>
          </cell>
          <cell r="D103" t="str">
            <v>Mãng cét MT-6a</v>
          </cell>
          <cell r="K103">
            <v>798255.39600000007</v>
          </cell>
          <cell r="L103">
            <v>918431.29019576986</v>
          </cell>
          <cell r="M103">
            <v>183.804</v>
          </cell>
        </row>
        <row r="104">
          <cell r="B104">
            <v>1</v>
          </cell>
          <cell r="C104" t="str">
            <v>04.3101a</v>
          </cell>
          <cell r="D104" t="str">
            <v>Bª t«ng lãt M50</v>
          </cell>
          <cell r="E104" t="str">
            <v>m3</v>
          </cell>
          <cell r="F104">
            <v>0.39600000000000002</v>
          </cell>
          <cell r="H104">
            <v>186516.995</v>
          </cell>
          <cell r="I104">
            <v>39733</v>
          </cell>
          <cell r="K104">
            <v>73861</v>
          </cell>
          <cell r="L104">
            <v>15734.268</v>
          </cell>
        </row>
        <row r="105">
          <cell r="B105">
            <v>2</v>
          </cell>
          <cell r="C105" t="str">
            <v>04.3102</v>
          </cell>
          <cell r="D105" t="str">
            <v>Bª t«ng ®óc M150</v>
          </cell>
          <cell r="E105" t="str">
            <v>m3</v>
          </cell>
          <cell r="F105">
            <v>1.91</v>
          </cell>
          <cell r="H105">
            <v>270382.03000000003</v>
          </cell>
          <cell r="I105">
            <v>45030</v>
          </cell>
          <cell r="K105">
            <v>516430</v>
          </cell>
          <cell r="L105">
            <v>86007.3</v>
          </cell>
        </row>
        <row r="106">
          <cell r="B106">
            <v>3</v>
          </cell>
          <cell r="C106" t="str">
            <v>04.3103</v>
          </cell>
          <cell r="D106" t="str">
            <v>Bª t«ng chÌn M200</v>
          </cell>
          <cell r="E106" t="str">
            <v>m3</v>
          </cell>
          <cell r="F106">
            <v>0.14000000000000001</v>
          </cell>
          <cell r="H106">
            <v>282269.83</v>
          </cell>
          <cell r="I106">
            <v>45030</v>
          </cell>
          <cell r="K106">
            <v>39518</v>
          </cell>
          <cell r="L106">
            <v>6304.2000000000007</v>
          </cell>
        </row>
        <row r="107">
          <cell r="B107">
            <v>4</v>
          </cell>
          <cell r="C107" t="str">
            <v>04.1101</v>
          </cell>
          <cell r="D107" t="str">
            <v>Cèt thÐp CT3, d=8</v>
          </cell>
          <cell r="E107" t="str">
            <v>kg</v>
          </cell>
          <cell r="F107">
            <v>5</v>
          </cell>
          <cell r="G107">
            <v>1.02</v>
          </cell>
          <cell r="H107">
            <v>4268</v>
          </cell>
          <cell r="I107">
            <v>202</v>
          </cell>
          <cell r="J107">
            <v>17</v>
          </cell>
          <cell r="K107">
            <v>21766.799999999999</v>
          </cell>
          <cell r="L107">
            <v>1030.2</v>
          </cell>
          <cell r="M107">
            <v>86.7</v>
          </cell>
        </row>
        <row r="108">
          <cell r="B108">
            <v>5</v>
          </cell>
          <cell r="C108" t="str">
            <v>04.1101</v>
          </cell>
          <cell r="D108" t="str">
            <v>Cèt thÐp CT3, d=10</v>
          </cell>
          <cell r="E108" t="str">
            <v>kg</v>
          </cell>
          <cell r="F108">
            <v>5.6</v>
          </cell>
          <cell r="G108">
            <v>1.02</v>
          </cell>
          <cell r="H108">
            <v>4268</v>
          </cell>
          <cell r="I108">
            <v>202</v>
          </cell>
          <cell r="J108">
            <v>17</v>
          </cell>
          <cell r="K108">
            <v>24378.815999999995</v>
          </cell>
          <cell r="L108">
            <v>1153.8239999999998</v>
          </cell>
          <cell r="M108">
            <v>97.103999999999999</v>
          </cell>
        </row>
        <row r="109">
          <cell r="B109">
            <v>6</v>
          </cell>
          <cell r="C109" t="str">
            <v>04.2001</v>
          </cell>
          <cell r="D109" t="str">
            <v>GhÐp v¸n khu«n mãng</v>
          </cell>
          <cell r="E109" t="str">
            <v>m2</v>
          </cell>
          <cell r="F109">
            <v>6.5</v>
          </cell>
          <cell r="H109">
            <v>18600.12</v>
          </cell>
          <cell r="I109">
            <v>5309.19</v>
          </cell>
          <cell r="K109">
            <v>120900.78</v>
          </cell>
          <cell r="L109">
            <v>34509.735000000001</v>
          </cell>
        </row>
        <row r="110">
          <cell r="B110">
            <v>7</v>
          </cell>
          <cell r="C110" t="str">
            <v>PL§G</v>
          </cell>
          <cell r="D110" t="str">
            <v>D©y thÐp buéc</v>
          </cell>
          <cell r="E110" t="str">
            <v>kg</v>
          </cell>
          <cell r="F110">
            <v>0.2</v>
          </cell>
          <cell r="H110">
            <v>7000</v>
          </cell>
          <cell r="K110">
            <v>1400</v>
          </cell>
          <cell r="L110">
            <v>0</v>
          </cell>
        </row>
        <row r="111">
          <cell r="B111">
            <v>8</v>
          </cell>
          <cell r="C111" t="str">
            <v>03.1113</v>
          </cell>
          <cell r="D111" t="str">
            <v>§µo ®Êt cÊp III s©u &lt;2m, S&lt;5m2</v>
          </cell>
          <cell r="E111" t="str">
            <v>m3</v>
          </cell>
          <cell r="F111">
            <v>20.2</v>
          </cell>
          <cell r="I111">
            <v>24428</v>
          </cell>
          <cell r="K111">
            <v>0</v>
          </cell>
          <cell r="L111">
            <v>493445.6</v>
          </cell>
        </row>
        <row r="112">
          <cell r="B112">
            <v>9</v>
          </cell>
          <cell r="C112" t="str">
            <v>03.2203</v>
          </cell>
          <cell r="D112" t="str">
            <v>LÊp ®Êt</v>
          </cell>
          <cell r="E112" t="str">
            <v>m3</v>
          </cell>
          <cell r="F112">
            <v>17.753999999999998</v>
          </cell>
          <cell r="I112">
            <v>10890</v>
          </cell>
          <cell r="K112">
            <v>0</v>
          </cell>
          <cell r="L112">
            <v>193341.05999999997</v>
          </cell>
        </row>
        <row r="113">
          <cell r="B113">
            <v>10</v>
          </cell>
          <cell r="C113" t="str">
            <v>03.2203</v>
          </cell>
          <cell r="D113" t="str">
            <v>§¾p ®Êt ch©n cét</v>
          </cell>
          <cell r="E113" t="str">
            <v>m3</v>
          </cell>
          <cell r="F113">
            <v>0.5</v>
          </cell>
          <cell r="I113">
            <v>10890</v>
          </cell>
          <cell r="K113">
            <v>0</v>
          </cell>
          <cell r="L113">
            <v>5445</v>
          </cell>
        </row>
        <row r="114">
          <cell r="B114">
            <v>11</v>
          </cell>
          <cell r="C114" t="str">
            <v>CTÝnh</v>
          </cell>
          <cell r="D114" t="str">
            <v xml:space="preserve">V/c bª t«ng M50 </v>
          </cell>
          <cell r="E114" t="str">
            <v>m3</v>
          </cell>
          <cell r="F114">
            <v>0.39600000000000002</v>
          </cell>
          <cell r="I114">
            <v>30374.152559999995</v>
          </cell>
          <cell r="K114">
            <v>0</v>
          </cell>
          <cell r="L114">
            <v>12028.164413759998</v>
          </cell>
        </row>
        <row r="115">
          <cell r="B115">
            <v>12</v>
          </cell>
          <cell r="C115" t="str">
            <v>CTÝnh</v>
          </cell>
          <cell r="D115" t="str">
            <v xml:space="preserve">V/c bª t«ng M150 </v>
          </cell>
          <cell r="E115" t="str">
            <v>m3</v>
          </cell>
          <cell r="F115">
            <v>1.91</v>
          </cell>
          <cell r="I115">
            <v>31393.107650999998</v>
          </cell>
          <cell r="K115">
            <v>0</v>
          </cell>
          <cell r="L115">
            <v>59960.835613409996</v>
          </cell>
        </row>
        <row r="116">
          <cell r="B116">
            <v>13</v>
          </cell>
          <cell r="C116" t="str">
            <v>CTÝnh</v>
          </cell>
          <cell r="D116" t="str">
            <v xml:space="preserve">V/c bª t«ng M200 </v>
          </cell>
          <cell r="E116" t="str">
            <v>m3</v>
          </cell>
          <cell r="F116">
            <v>0.14000000000000001</v>
          </cell>
          <cell r="I116">
            <v>31403.90049</v>
          </cell>
          <cell r="K116">
            <v>0</v>
          </cell>
          <cell r="L116">
            <v>4396.5460686000006</v>
          </cell>
        </row>
        <row r="117">
          <cell r="B117">
            <v>14</v>
          </cell>
          <cell r="C117" t="str">
            <v>02.1352</v>
          </cell>
          <cell r="D117" t="str">
            <v xml:space="preserve">V/c thÐp </v>
          </cell>
          <cell r="E117" t="str">
            <v>TÊn</v>
          </cell>
          <cell r="F117">
            <v>0.01</v>
          </cell>
          <cell r="I117">
            <v>27757.71</v>
          </cell>
          <cell r="K117">
            <v>0</v>
          </cell>
          <cell r="L117">
            <v>277.57709999999997</v>
          </cell>
        </row>
        <row r="118">
          <cell r="B118">
            <v>15</v>
          </cell>
          <cell r="C118" t="str">
            <v>CTÝnh</v>
          </cell>
          <cell r="D118" t="str">
            <v>V/c dông cô thi c«ng</v>
          </cell>
          <cell r="E118" t="str">
            <v>TÊn</v>
          </cell>
          <cell r="F118">
            <v>0.2</v>
          </cell>
          <cell r="I118">
            <v>23984.9</v>
          </cell>
          <cell r="K118">
            <v>0</v>
          </cell>
          <cell r="L118">
            <v>4796.9800000000005</v>
          </cell>
        </row>
        <row r="119">
          <cell r="A119">
            <v>8</v>
          </cell>
          <cell r="D119" t="str">
            <v>Mãng cét MT-6</v>
          </cell>
          <cell r="K119">
            <v>797422.39600000007</v>
          </cell>
          <cell r="L119">
            <v>911720.11469703983</v>
          </cell>
          <cell r="M119">
            <v>183.804</v>
          </cell>
        </row>
        <row r="120">
          <cell r="B120">
            <v>1</v>
          </cell>
          <cell r="C120" t="str">
            <v>04.3101a</v>
          </cell>
          <cell r="D120" t="str">
            <v>Bª t«ng lãt M50</v>
          </cell>
          <cell r="E120" t="str">
            <v>m3</v>
          </cell>
          <cell r="F120">
            <v>0.39600000000000002</v>
          </cell>
          <cell r="H120">
            <v>186516.995</v>
          </cell>
          <cell r="I120">
            <v>39733</v>
          </cell>
          <cell r="K120">
            <v>73861</v>
          </cell>
          <cell r="L120">
            <v>15734.268</v>
          </cell>
        </row>
        <row r="121">
          <cell r="B121">
            <v>2</v>
          </cell>
          <cell r="C121" t="str">
            <v>04.3102</v>
          </cell>
          <cell r="D121" t="str">
            <v>Bª t«ng ®óc M150</v>
          </cell>
          <cell r="E121" t="str">
            <v>m3</v>
          </cell>
          <cell r="F121">
            <v>1.98</v>
          </cell>
          <cell r="H121">
            <v>270382.03000000003</v>
          </cell>
          <cell r="I121">
            <v>45030</v>
          </cell>
          <cell r="K121">
            <v>535356</v>
          </cell>
          <cell r="L121">
            <v>89159.4</v>
          </cell>
        </row>
        <row r="122">
          <cell r="B122">
            <v>3</v>
          </cell>
          <cell r="C122" t="str">
            <v>04.3103</v>
          </cell>
          <cell r="D122" t="str">
            <v>Bª t«ng chÌn M200</v>
          </cell>
          <cell r="E122" t="str">
            <v>m3</v>
          </cell>
          <cell r="F122">
            <v>7.0000000000000007E-2</v>
          </cell>
          <cell r="H122">
            <v>282269.83</v>
          </cell>
          <cell r="I122">
            <v>45030</v>
          </cell>
          <cell r="K122">
            <v>19759</v>
          </cell>
          <cell r="L122">
            <v>3152.1000000000004</v>
          </cell>
        </row>
        <row r="123">
          <cell r="B123">
            <v>4</v>
          </cell>
          <cell r="C123" t="str">
            <v>04.1101</v>
          </cell>
          <cell r="D123" t="str">
            <v>Cèt thÐp CT3, d=8</v>
          </cell>
          <cell r="E123" t="str">
            <v>kg</v>
          </cell>
          <cell r="F123">
            <v>5</v>
          </cell>
          <cell r="G123">
            <v>1.02</v>
          </cell>
          <cell r="H123">
            <v>4268</v>
          </cell>
          <cell r="I123">
            <v>202</v>
          </cell>
          <cell r="J123">
            <v>17</v>
          </cell>
          <cell r="K123">
            <v>21766.799999999999</v>
          </cell>
          <cell r="L123">
            <v>1030.2</v>
          </cell>
          <cell r="M123">
            <v>86.7</v>
          </cell>
        </row>
        <row r="124">
          <cell r="B124">
            <v>5</v>
          </cell>
          <cell r="C124" t="str">
            <v>04.1101</v>
          </cell>
          <cell r="D124" t="str">
            <v>Cèt thÐp CT3, d=10</v>
          </cell>
          <cell r="E124" t="str">
            <v>kg</v>
          </cell>
          <cell r="F124">
            <v>5.6</v>
          </cell>
          <cell r="G124">
            <v>1.02</v>
          </cell>
          <cell r="H124">
            <v>4268</v>
          </cell>
          <cell r="I124">
            <v>202</v>
          </cell>
          <cell r="J124">
            <v>17</v>
          </cell>
          <cell r="K124">
            <v>24378.815999999995</v>
          </cell>
          <cell r="L124">
            <v>1153.8239999999998</v>
          </cell>
          <cell r="M124">
            <v>97.103999999999999</v>
          </cell>
        </row>
        <row r="125">
          <cell r="B125">
            <v>6</v>
          </cell>
          <cell r="C125" t="str">
            <v>PL§G</v>
          </cell>
          <cell r="D125" t="str">
            <v>D©y thÐp buéc</v>
          </cell>
          <cell r="E125" t="str">
            <v>kg</v>
          </cell>
          <cell r="F125">
            <v>0.2</v>
          </cell>
          <cell r="H125">
            <v>7000</v>
          </cell>
          <cell r="K125">
            <v>1400</v>
          </cell>
          <cell r="L125">
            <v>0</v>
          </cell>
        </row>
        <row r="126">
          <cell r="B126">
            <v>6</v>
          </cell>
          <cell r="C126" t="str">
            <v>04.2001</v>
          </cell>
          <cell r="D126" t="str">
            <v>GhÐp v¸n khu«n mãng</v>
          </cell>
          <cell r="E126" t="str">
            <v>m2</v>
          </cell>
          <cell r="F126">
            <v>6.5</v>
          </cell>
          <cell r="H126">
            <v>18600.12</v>
          </cell>
          <cell r="I126">
            <v>5309.19</v>
          </cell>
          <cell r="K126">
            <v>120900.78</v>
          </cell>
          <cell r="L126">
            <v>34509.735000000001</v>
          </cell>
        </row>
        <row r="127">
          <cell r="B127">
            <v>7</v>
          </cell>
          <cell r="C127" t="str">
            <v>03.1113</v>
          </cell>
          <cell r="D127" t="str">
            <v>§µo ®Êt cÊp III s©u &lt;2m, S&lt;5m2</v>
          </cell>
          <cell r="E127" t="str">
            <v>m3</v>
          </cell>
          <cell r="F127">
            <v>20.010000000000002</v>
          </cell>
          <cell r="I127">
            <v>24428</v>
          </cell>
          <cell r="K127">
            <v>0</v>
          </cell>
          <cell r="L127">
            <v>488804.28</v>
          </cell>
        </row>
        <row r="128">
          <cell r="B128">
            <v>8</v>
          </cell>
          <cell r="C128" t="str">
            <v>03.2203</v>
          </cell>
          <cell r="D128" t="str">
            <v>LÊp ®Êt</v>
          </cell>
          <cell r="E128" t="str">
            <v>m3</v>
          </cell>
          <cell r="F128">
            <v>17.564</v>
          </cell>
          <cell r="I128">
            <v>10890</v>
          </cell>
          <cell r="K128">
            <v>0</v>
          </cell>
          <cell r="L128">
            <v>191271.96</v>
          </cell>
        </row>
        <row r="129">
          <cell r="B129">
            <v>9</v>
          </cell>
          <cell r="C129" t="str">
            <v>03.2203</v>
          </cell>
          <cell r="D129" t="str">
            <v>§¾p ®Êt ch©n cét</v>
          </cell>
          <cell r="E129" t="str">
            <v>m3</v>
          </cell>
          <cell r="F129">
            <v>0.5</v>
          </cell>
          <cell r="I129">
            <v>10890</v>
          </cell>
          <cell r="K129">
            <v>0</v>
          </cell>
          <cell r="L129">
            <v>5445</v>
          </cell>
        </row>
        <row r="130">
          <cell r="B130">
            <v>10</v>
          </cell>
          <cell r="C130" t="str">
            <v>CTÝnh</v>
          </cell>
          <cell r="D130" t="str">
            <v xml:space="preserve">V/c bª t«ng M50 </v>
          </cell>
          <cell r="E130" t="str">
            <v>m3</v>
          </cell>
          <cell r="F130">
            <v>0.39600000000000002</v>
          </cell>
          <cell r="I130">
            <v>30374.152559999995</v>
          </cell>
          <cell r="K130">
            <v>0</v>
          </cell>
          <cell r="L130">
            <v>12028.164413759998</v>
          </cell>
        </row>
        <row r="131">
          <cell r="B131">
            <v>11</v>
          </cell>
          <cell r="C131" t="str">
            <v>CTÝnh</v>
          </cell>
          <cell r="D131" t="str">
            <v xml:space="preserve">V/c bª t«ng M150 </v>
          </cell>
          <cell r="E131" t="str">
            <v>m3</v>
          </cell>
          <cell r="F131">
            <v>1.98</v>
          </cell>
          <cell r="I131">
            <v>31393.107650999998</v>
          </cell>
          <cell r="K131">
            <v>0</v>
          </cell>
          <cell r="L131">
            <v>62158.353148979993</v>
          </cell>
        </row>
        <row r="132">
          <cell r="B132">
            <v>12</v>
          </cell>
          <cell r="C132" t="str">
            <v>CTÝnh</v>
          </cell>
          <cell r="D132" t="str">
            <v xml:space="preserve">V/c bª t«ng M200 </v>
          </cell>
          <cell r="E132" t="str">
            <v>m3</v>
          </cell>
          <cell r="F132">
            <v>7.0000000000000007E-2</v>
          </cell>
          <cell r="I132">
            <v>31403.90049</v>
          </cell>
          <cell r="K132">
            <v>0</v>
          </cell>
          <cell r="L132">
            <v>2198.2730343000003</v>
          </cell>
        </row>
        <row r="133">
          <cell r="B133">
            <v>13</v>
          </cell>
          <cell r="C133" t="str">
            <v>02.1352</v>
          </cell>
          <cell r="D133" t="str">
            <v xml:space="preserve">V/c thÐp </v>
          </cell>
          <cell r="E133" t="str">
            <v>TÊn</v>
          </cell>
          <cell r="F133">
            <v>0.01</v>
          </cell>
          <cell r="I133">
            <v>27757.71</v>
          </cell>
          <cell r="K133">
            <v>0</v>
          </cell>
          <cell r="L133">
            <v>277.57709999999997</v>
          </cell>
        </row>
        <row r="134">
          <cell r="B134">
            <v>14</v>
          </cell>
          <cell r="C134" t="str">
            <v>CTÝnh</v>
          </cell>
          <cell r="D134" t="str">
            <v>V/c dông cô thi c«ng</v>
          </cell>
          <cell r="E134" t="str">
            <v>TÊn</v>
          </cell>
          <cell r="F134">
            <v>0.2</v>
          </cell>
          <cell r="I134">
            <v>23984.9</v>
          </cell>
          <cell r="K134">
            <v>0</v>
          </cell>
          <cell r="L134">
            <v>4796.9800000000005</v>
          </cell>
        </row>
        <row r="135">
          <cell r="A135">
            <v>9</v>
          </cell>
          <cell r="D135" t="str">
            <v>Mãng cét MT-7</v>
          </cell>
          <cell r="K135">
            <v>870573.45600000001</v>
          </cell>
          <cell r="L135">
            <v>902389.38358108001</v>
          </cell>
          <cell r="M135">
            <v>183.804</v>
          </cell>
        </row>
        <row r="136">
          <cell r="B136">
            <v>1</v>
          </cell>
          <cell r="C136" t="str">
            <v>04.3101a</v>
          </cell>
          <cell r="D136" t="str">
            <v>Bª t«ng lãt M50</v>
          </cell>
          <cell r="E136" t="str">
            <v>m3</v>
          </cell>
          <cell r="F136">
            <v>0.432</v>
          </cell>
          <cell r="H136">
            <v>186516.995</v>
          </cell>
          <cell r="I136">
            <v>39733</v>
          </cell>
          <cell r="K136">
            <v>80575</v>
          </cell>
          <cell r="L136">
            <v>17164.655999999999</v>
          </cell>
        </row>
        <row r="137">
          <cell r="B137">
            <v>2</v>
          </cell>
          <cell r="C137" t="str">
            <v>04.3102</v>
          </cell>
          <cell r="D137" t="str">
            <v>Bª t«ng ®óc M150</v>
          </cell>
          <cell r="E137" t="str">
            <v>m3</v>
          </cell>
          <cell r="F137">
            <v>2.16</v>
          </cell>
          <cell r="H137">
            <v>270382.03000000003</v>
          </cell>
          <cell r="I137">
            <v>45030</v>
          </cell>
          <cell r="K137">
            <v>584025</v>
          </cell>
          <cell r="L137">
            <v>97264.8</v>
          </cell>
        </row>
        <row r="138">
          <cell r="B138">
            <v>3</v>
          </cell>
          <cell r="C138" t="str">
            <v>04.3103</v>
          </cell>
          <cell r="D138" t="str">
            <v>Bª t«ng chÌn M200</v>
          </cell>
          <cell r="E138" t="str">
            <v>m3</v>
          </cell>
          <cell r="F138">
            <v>0.1</v>
          </cell>
          <cell r="H138">
            <v>282269.83</v>
          </cell>
          <cell r="I138">
            <v>45030</v>
          </cell>
          <cell r="K138">
            <v>28227</v>
          </cell>
          <cell r="L138">
            <v>4503</v>
          </cell>
        </row>
        <row r="139">
          <cell r="B139">
            <v>4</v>
          </cell>
          <cell r="C139" t="str">
            <v>04.1101</v>
          </cell>
          <cell r="D139" t="str">
            <v>Cèt thÐp CT3, d=8</v>
          </cell>
          <cell r="E139" t="str">
            <v>kg</v>
          </cell>
          <cell r="F139">
            <v>5</v>
          </cell>
          <cell r="G139">
            <v>1.02</v>
          </cell>
          <cell r="H139">
            <v>4268</v>
          </cell>
          <cell r="I139">
            <v>202</v>
          </cell>
          <cell r="J139">
            <v>17</v>
          </cell>
          <cell r="K139">
            <v>21766.799999999999</v>
          </cell>
          <cell r="L139">
            <v>1030.2</v>
          </cell>
          <cell r="M139">
            <v>86.7</v>
          </cell>
        </row>
        <row r="140">
          <cell r="B140">
            <v>5</v>
          </cell>
          <cell r="C140" t="str">
            <v>04.1101</v>
          </cell>
          <cell r="D140" t="str">
            <v>Cèt thÐp CT3, d=10</v>
          </cell>
          <cell r="E140" t="str">
            <v>kg</v>
          </cell>
          <cell r="F140">
            <v>5.6</v>
          </cell>
          <cell r="G140">
            <v>1.02</v>
          </cell>
          <cell r="H140">
            <v>4268</v>
          </cell>
          <cell r="I140">
            <v>202</v>
          </cell>
          <cell r="J140">
            <v>17</v>
          </cell>
          <cell r="K140">
            <v>24378.815999999995</v>
          </cell>
          <cell r="L140">
            <v>1153.8239999999998</v>
          </cell>
          <cell r="M140">
            <v>97.103999999999999</v>
          </cell>
        </row>
        <row r="141">
          <cell r="B141">
            <v>6</v>
          </cell>
          <cell r="C141" t="str">
            <v>PL§G</v>
          </cell>
          <cell r="D141" t="str">
            <v>D©y thÐp buéc</v>
          </cell>
          <cell r="E141" t="str">
            <v>kg</v>
          </cell>
          <cell r="F141">
            <v>0.2</v>
          </cell>
          <cell r="H141">
            <v>7000</v>
          </cell>
          <cell r="K141">
            <v>1400</v>
          </cell>
          <cell r="L141">
            <v>0</v>
          </cell>
        </row>
        <row r="142">
          <cell r="B142">
            <v>6</v>
          </cell>
          <cell r="C142" t="str">
            <v>04.2001</v>
          </cell>
          <cell r="D142" t="str">
            <v>GhÐp v¸n khu«n mãng</v>
          </cell>
          <cell r="E142" t="str">
            <v>m2</v>
          </cell>
          <cell r="F142">
            <v>7</v>
          </cell>
          <cell r="H142">
            <v>18600.12</v>
          </cell>
          <cell r="I142">
            <v>5309.19</v>
          </cell>
          <cell r="K142">
            <v>130200.84</v>
          </cell>
          <cell r="L142">
            <v>37164.329999999994</v>
          </cell>
        </row>
        <row r="143">
          <cell r="B143">
            <v>7</v>
          </cell>
          <cell r="C143" t="str">
            <v>03.1113</v>
          </cell>
          <cell r="D143" t="str">
            <v>§µo ®Êt cÊp III s©u &lt;2m, S&lt;5m2</v>
          </cell>
          <cell r="E143" t="str">
            <v>m3</v>
          </cell>
          <cell r="F143">
            <v>21.12</v>
          </cell>
          <cell r="I143">
            <v>24428</v>
          </cell>
          <cell r="K143">
            <v>0</v>
          </cell>
          <cell r="L143">
            <v>515919.36000000004</v>
          </cell>
        </row>
        <row r="144">
          <cell r="B144">
            <v>8</v>
          </cell>
          <cell r="C144" t="str">
            <v>03.2203</v>
          </cell>
          <cell r="D144" t="str">
            <v>LÊp ®Êt</v>
          </cell>
          <cell r="E144" t="str">
            <v>m3</v>
          </cell>
          <cell r="F144">
            <v>12.268000000000001</v>
          </cell>
          <cell r="I144">
            <v>10890</v>
          </cell>
          <cell r="K144">
            <v>0</v>
          </cell>
          <cell r="L144">
            <v>133598.52000000002</v>
          </cell>
        </row>
        <row r="145">
          <cell r="B145">
            <v>9</v>
          </cell>
          <cell r="C145" t="str">
            <v>03.2203</v>
          </cell>
          <cell r="D145" t="str">
            <v>§¾p ®Êt ch©n cét</v>
          </cell>
          <cell r="E145" t="str">
            <v>m3</v>
          </cell>
          <cell r="F145">
            <v>0.5</v>
          </cell>
          <cell r="I145">
            <v>10890</v>
          </cell>
          <cell r="K145">
            <v>0</v>
          </cell>
          <cell r="L145">
            <v>5445</v>
          </cell>
        </row>
        <row r="146">
          <cell r="B146">
            <v>10</v>
          </cell>
          <cell r="C146" t="str">
            <v>CTÝnh</v>
          </cell>
          <cell r="D146" t="str">
            <v xml:space="preserve">V/c bª t«ng M50 </v>
          </cell>
          <cell r="E146" t="str">
            <v>m3</v>
          </cell>
          <cell r="F146">
            <v>0.432</v>
          </cell>
          <cell r="I146">
            <v>30374.152559999995</v>
          </cell>
          <cell r="K146">
            <v>0</v>
          </cell>
          <cell r="L146">
            <v>13121.633905919998</v>
          </cell>
        </row>
        <row r="147">
          <cell r="B147">
            <v>11</v>
          </cell>
          <cell r="C147" t="str">
            <v>CTÝnh</v>
          </cell>
          <cell r="D147" t="str">
            <v xml:space="preserve">V/c bª t«ng M150 </v>
          </cell>
          <cell r="E147" t="str">
            <v>m3</v>
          </cell>
          <cell r="F147">
            <v>2.16</v>
          </cell>
          <cell r="I147">
            <v>31393.107650999998</v>
          </cell>
          <cell r="K147">
            <v>0</v>
          </cell>
          <cell r="L147">
            <v>67809.112526159995</v>
          </cell>
        </row>
        <row r="148">
          <cell r="B148">
            <v>12</v>
          </cell>
          <cell r="C148" t="str">
            <v>CTÝnh</v>
          </cell>
          <cell r="D148" t="str">
            <v xml:space="preserve">V/c bª t«ng M200 </v>
          </cell>
          <cell r="E148" t="str">
            <v>m3</v>
          </cell>
          <cell r="F148">
            <v>0.1</v>
          </cell>
          <cell r="I148">
            <v>31403.90049</v>
          </cell>
          <cell r="K148">
            <v>0</v>
          </cell>
          <cell r="L148">
            <v>3140.3900490000001</v>
          </cell>
        </row>
        <row r="149">
          <cell r="B149">
            <v>13</v>
          </cell>
          <cell r="C149" t="str">
            <v>02.1352</v>
          </cell>
          <cell r="D149" t="str">
            <v xml:space="preserve">V/c thÐp </v>
          </cell>
          <cell r="E149" t="str">
            <v>TÊn</v>
          </cell>
          <cell r="F149">
            <v>0.01</v>
          </cell>
          <cell r="I149">
            <v>27757.71</v>
          </cell>
          <cell r="K149">
            <v>0</v>
          </cell>
          <cell r="L149">
            <v>277.57709999999997</v>
          </cell>
        </row>
        <row r="150">
          <cell r="B150">
            <v>14</v>
          </cell>
          <cell r="C150" t="str">
            <v>CTÝnh</v>
          </cell>
          <cell r="D150" t="str">
            <v>V/c dông cô thi c«ng</v>
          </cell>
          <cell r="E150" t="str">
            <v>TÊn</v>
          </cell>
          <cell r="F150">
            <v>0.2</v>
          </cell>
          <cell r="I150">
            <v>23984.9</v>
          </cell>
          <cell r="K150">
            <v>0</v>
          </cell>
          <cell r="L150">
            <v>4796.9800000000005</v>
          </cell>
        </row>
        <row r="151">
          <cell r="A151">
            <v>10</v>
          </cell>
          <cell r="D151" t="str">
            <v>Mãng cét ®óp M§ - 2</v>
          </cell>
          <cell r="K151">
            <v>1434497.4304</v>
          </cell>
          <cell r="L151">
            <v>923614.54905379098</v>
          </cell>
          <cell r="M151">
            <v>2247.9575999999997</v>
          </cell>
        </row>
        <row r="152">
          <cell r="B152">
            <v>1</v>
          </cell>
          <cell r="C152" t="str">
            <v>04.3101a</v>
          </cell>
          <cell r="D152" t="str">
            <v>Bª t«ng lãt M50</v>
          </cell>
          <cell r="E152" t="str">
            <v>m3</v>
          </cell>
          <cell r="F152">
            <v>0.432</v>
          </cell>
          <cell r="H152">
            <v>186516.995</v>
          </cell>
          <cell r="I152">
            <v>39733</v>
          </cell>
          <cell r="K152">
            <v>80575</v>
          </cell>
          <cell r="L152">
            <v>17164.655999999999</v>
          </cell>
        </row>
        <row r="153">
          <cell r="B153">
            <v>2</v>
          </cell>
          <cell r="C153" t="str">
            <v>042.104</v>
          </cell>
          <cell r="D153" t="str">
            <v>Bª t«ng ®óc M150</v>
          </cell>
          <cell r="E153" t="str">
            <v>m3</v>
          </cell>
          <cell r="F153">
            <v>2.2810000000000001</v>
          </cell>
          <cell r="H153">
            <v>270382.03000000003</v>
          </cell>
          <cell r="I153">
            <v>45030</v>
          </cell>
          <cell r="K153">
            <v>616741</v>
          </cell>
          <cell r="L153">
            <v>102713.43000000001</v>
          </cell>
        </row>
        <row r="154">
          <cell r="B154">
            <v>3</v>
          </cell>
          <cell r="C154" t="str">
            <v>042.105</v>
          </cell>
          <cell r="D154" t="str">
            <v>Bª t«ng chÌn M200</v>
          </cell>
          <cell r="E154" t="str">
            <v>m3</v>
          </cell>
          <cell r="F154">
            <v>0.14599999999999999</v>
          </cell>
          <cell r="H154">
            <v>282269.83</v>
          </cell>
          <cell r="I154">
            <v>45030</v>
          </cell>
          <cell r="K154">
            <v>41211</v>
          </cell>
          <cell r="L154">
            <v>6574.3799999999992</v>
          </cell>
        </row>
        <row r="155">
          <cell r="B155">
            <v>4</v>
          </cell>
          <cell r="C155" t="str">
            <v>041.101</v>
          </cell>
          <cell r="D155" t="str">
            <v>Cèt thÐp CT3, d=10</v>
          </cell>
          <cell r="E155" t="str">
            <v>kg</v>
          </cell>
          <cell r="F155">
            <v>82.339999999999989</v>
          </cell>
          <cell r="G155">
            <v>1.02</v>
          </cell>
          <cell r="H155">
            <v>4268</v>
          </cell>
          <cell r="I155">
            <v>202</v>
          </cell>
          <cell r="J155">
            <v>17</v>
          </cell>
          <cell r="K155">
            <v>358455.66239999991</v>
          </cell>
          <cell r="L155">
            <v>16965.333599999998</v>
          </cell>
          <cell r="M155">
            <v>1427.7755999999997</v>
          </cell>
        </row>
        <row r="156">
          <cell r="B156">
            <v>5</v>
          </cell>
          <cell r="C156" t="str">
            <v>041.101</v>
          </cell>
          <cell r="D156" t="str">
            <v>Cèt thÐp CT3, d=12</v>
          </cell>
          <cell r="E156" t="str">
            <v>kg</v>
          </cell>
          <cell r="F156">
            <v>47.3</v>
          </cell>
          <cell r="G156">
            <v>1.02</v>
          </cell>
          <cell r="H156">
            <v>4268</v>
          </cell>
          <cell r="I156">
            <v>202</v>
          </cell>
          <cell r="J156">
            <v>17</v>
          </cell>
          <cell r="K156">
            <v>205913.92799999999</v>
          </cell>
          <cell r="L156">
            <v>9745.6919999999991</v>
          </cell>
          <cell r="M156">
            <v>820.1819999999999</v>
          </cell>
        </row>
        <row r="157">
          <cell r="B157">
            <v>6</v>
          </cell>
          <cell r="C157" t="str">
            <v>PL§G</v>
          </cell>
          <cell r="D157" t="str">
            <v>D©y thÐp buéc</v>
          </cell>
          <cell r="E157" t="str">
            <v>kg</v>
          </cell>
          <cell r="F157">
            <v>0.2</v>
          </cell>
          <cell r="H157">
            <v>7000</v>
          </cell>
          <cell r="K157">
            <v>1400</v>
          </cell>
          <cell r="L157">
            <v>0</v>
          </cell>
        </row>
        <row r="158">
          <cell r="B158">
            <v>6</v>
          </cell>
          <cell r="C158" t="str">
            <v>04.2001</v>
          </cell>
          <cell r="D158" t="str">
            <v>GhÐp v¸n khu«n mãng</v>
          </cell>
          <cell r="E158" t="str">
            <v>m2</v>
          </cell>
          <cell r="F158">
            <v>7</v>
          </cell>
          <cell r="H158">
            <v>18600.12</v>
          </cell>
          <cell r="I158">
            <v>5309.19</v>
          </cell>
          <cell r="K158">
            <v>130200.84</v>
          </cell>
          <cell r="L158">
            <v>37164.329999999994</v>
          </cell>
        </row>
        <row r="159">
          <cell r="B159">
            <v>7</v>
          </cell>
          <cell r="C159" t="str">
            <v>031.123</v>
          </cell>
          <cell r="D159" t="str">
            <v>§µo ®Êt cÊp III s©u &lt;2m, S&lt;5m2</v>
          </cell>
          <cell r="E159" t="str">
            <v>m3</v>
          </cell>
          <cell r="F159">
            <v>24.5</v>
          </cell>
          <cell r="I159">
            <v>18517</v>
          </cell>
          <cell r="K159">
            <v>0</v>
          </cell>
          <cell r="L159">
            <v>453666.5</v>
          </cell>
        </row>
        <row r="160">
          <cell r="B160">
            <v>8</v>
          </cell>
          <cell r="C160" t="str">
            <v>033.103</v>
          </cell>
          <cell r="D160" t="str">
            <v>LÊp ®Êt</v>
          </cell>
          <cell r="E160" t="str">
            <v>m3</v>
          </cell>
          <cell r="F160">
            <v>21.640999999999998</v>
          </cell>
          <cell r="I160">
            <v>8216</v>
          </cell>
          <cell r="K160">
            <v>0</v>
          </cell>
          <cell r="L160">
            <v>177802.45599999998</v>
          </cell>
        </row>
        <row r="161">
          <cell r="B161">
            <v>9</v>
          </cell>
          <cell r="C161" t="str">
            <v>033.103</v>
          </cell>
          <cell r="D161" t="str">
            <v>§¾p ®Êt ch©n cét</v>
          </cell>
          <cell r="E161" t="str">
            <v>m3</v>
          </cell>
          <cell r="F161">
            <v>0.5</v>
          </cell>
          <cell r="I161">
            <v>8216</v>
          </cell>
          <cell r="K161">
            <v>0</v>
          </cell>
          <cell r="L161">
            <v>4108</v>
          </cell>
        </row>
        <row r="162">
          <cell r="B162">
            <v>10</v>
          </cell>
          <cell r="C162" t="str">
            <v>CTÝnh</v>
          </cell>
          <cell r="D162" t="str">
            <v xml:space="preserve">V/c bª t«ng M50 </v>
          </cell>
          <cell r="E162" t="str">
            <v>m3</v>
          </cell>
          <cell r="F162">
            <v>0.432</v>
          </cell>
          <cell r="I162">
            <v>30374.152559999995</v>
          </cell>
          <cell r="K162">
            <v>0</v>
          </cell>
          <cell r="L162">
            <v>13121.633905919998</v>
          </cell>
        </row>
        <row r="163">
          <cell r="B163">
            <v>11</v>
          </cell>
          <cell r="C163" t="str">
            <v>CTÝnh</v>
          </cell>
          <cell r="D163" t="str">
            <v xml:space="preserve">V/c bª t«ng M150 </v>
          </cell>
          <cell r="E163" t="str">
            <v>m3</v>
          </cell>
          <cell r="F163">
            <v>2.2810000000000001</v>
          </cell>
          <cell r="I163">
            <v>31393.107650999998</v>
          </cell>
          <cell r="K163">
            <v>0</v>
          </cell>
          <cell r="L163">
            <v>71607.678551931007</v>
          </cell>
        </row>
        <row r="164">
          <cell r="B164">
            <v>12</v>
          </cell>
          <cell r="C164" t="str">
            <v>CTÝnh</v>
          </cell>
          <cell r="D164" t="str">
            <v xml:space="preserve">V/c bª t«ng M200 </v>
          </cell>
          <cell r="E164" t="str">
            <v>m3</v>
          </cell>
          <cell r="F164">
            <v>0.14599999999999999</v>
          </cell>
          <cell r="I164">
            <v>31403.90049</v>
          </cell>
          <cell r="K164">
            <v>0</v>
          </cell>
          <cell r="L164">
            <v>4584.9694715400001</v>
          </cell>
        </row>
        <row r="165">
          <cell r="B165">
            <v>13</v>
          </cell>
          <cell r="C165" t="str">
            <v>02.1352</v>
          </cell>
          <cell r="D165" t="str">
            <v xml:space="preserve">V/c thÐp </v>
          </cell>
          <cell r="E165" t="str">
            <v>TÊn</v>
          </cell>
          <cell r="F165">
            <v>0.12963999999999998</v>
          </cell>
          <cell r="I165">
            <v>27757.71</v>
          </cell>
          <cell r="K165">
            <v>0</v>
          </cell>
          <cell r="L165">
            <v>3598.5095243999995</v>
          </cell>
        </row>
        <row r="166">
          <cell r="B166">
            <v>14</v>
          </cell>
          <cell r="C166" t="str">
            <v>CTÝnh</v>
          </cell>
          <cell r="D166" t="str">
            <v>V/c dông cô thi c«ng</v>
          </cell>
          <cell r="E166" t="str">
            <v>TÊn</v>
          </cell>
          <cell r="F166">
            <v>0.2</v>
          </cell>
          <cell r="I166">
            <v>23984.9</v>
          </cell>
          <cell r="K166">
            <v>0</v>
          </cell>
          <cell r="L166">
            <v>4796.9800000000005</v>
          </cell>
        </row>
        <row r="167">
          <cell r="A167">
            <v>11</v>
          </cell>
          <cell r="D167" t="str">
            <v>Mãng cét MT-13a</v>
          </cell>
          <cell r="K167">
            <v>2150607.18144</v>
          </cell>
          <cell r="L167">
            <v>1095944.4108618398</v>
          </cell>
          <cell r="M167">
            <v>3086.52</v>
          </cell>
        </row>
        <row r="168">
          <cell r="B168">
            <v>1</v>
          </cell>
          <cell r="C168" t="str">
            <v>04.3101a</v>
          </cell>
          <cell r="D168" t="str">
            <v>Bª t«ng lãt M50</v>
          </cell>
          <cell r="E168" t="str">
            <v>m3</v>
          </cell>
          <cell r="F168">
            <v>0.83</v>
          </cell>
          <cell r="H168">
            <v>186516.995</v>
          </cell>
          <cell r="I168">
            <v>39733</v>
          </cell>
          <cell r="K168">
            <v>154809</v>
          </cell>
          <cell r="L168">
            <v>32978.39</v>
          </cell>
        </row>
        <row r="169">
          <cell r="B169">
            <v>2</v>
          </cell>
          <cell r="C169" t="str">
            <v>042.104</v>
          </cell>
          <cell r="D169" t="str">
            <v>Bª t«ng ®óc M 200</v>
          </cell>
          <cell r="E169" t="str">
            <v>m3</v>
          </cell>
          <cell r="F169">
            <v>3.44</v>
          </cell>
          <cell r="H169">
            <v>282269.83</v>
          </cell>
          <cell r="I169">
            <v>51578</v>
          </cell>
          <cell r="K169">
            <v>971008.21520000009</v>
          </cell>
          <cell r="L169">
            <v>177428.32</v>
          </cell>
        </row>
        <row r="170">
          <cell r="B170">
            <v>3</v>
          </cell>
          <cell r="C170" t="str">
            <v>042.105</v>
          </cell>
          <cell r="D170" t="str">
            <v>Bª t«ng chÌn M300</v>
          </cell>
          <cell r="E170" t="str">
            <v>m3</v>
          </cell>
          <cell r="F170">
            <v>0.24</v>
          </cell>
          <cell r="H170">
            <v>392045.5259999999</v>
          </cell>
          <cell r="I170">
            <v>51578</v>
          </cell>
          <cell r="K170">
            <v>94090.926239999972</v>
          </cell>
          <cell r="L170">
            <v>12378.72</v>
          </cell>
        </row>
        <row r="171">
          <cell r="B171">
            <v>4</v>
          </cell>
          <cell r="C171" t="str">
            <v>041.101</v>
          </cell>
          <cell r="D171" t="str">
            <v>Cèt thÐp CT3, d=10</v>
          </cell>
          <cell r="E171" t="str">
            <v>kg</v>
          </cell>
          <cell r="F171">
            <v>126.3</v>
          </cell>
          <cell r="G171">
            <v>1.02</v>
          </cell>
          <cell r="H171">
            <v>4268</v>
          </cell>
          <cell r="I171">
            <v>202</v>
          </cell>
          <cell r="J171">
            <v>17</v>
          </cell>
          <cell r="K171">
            <v>549829.3679999999</v>
          </cell>
          <cell r="L171">
            <v>26022.851999999999</v>
          </cell>
          <cell r="M171">
            <v>2190.0419999999999</v>
          </cell>
        </row>
        <row r="172">
          <cell r="B172">
            <v>5</v>
          </cell>
          <cell r="C172" t="str">
            <v>041.101</v>
          </cell>
          <cell r="D172" t="str">
            <v>Cèt thÐp CT3, d=12</v>
          </cell>
          <cell r="E172" t="str">
            <v>kg</v>
          </cell>
          <cell r="F172">
            <v>51.7</v>
          </cell>
          <cell r="G172">
            <v>1.02</v>
          </cell>
          <cell r="H172">
            <v>4268</v>
          </cell>
          <cell r="I172">
            <v>202</v>
          </cell>
          <cell r="J172">
            <v>17</v>
          </cell>
          <cell r="K172">
            <v>225068.712</v>
          </cell>
          <cell r="L172">
            <v>10652.268</v>
          </cell>
          <cell r="M172">
            <v>896.47800000000007</v>
          </cell>
        </row>
        <row r="173">
          <cell r="B173">
            <v>6</v>
          </cell>
          <cell r="C173" t="str">
            <v>04.2001</v>
          </cell>
          <cell r="D173" t="str">
            <v>GhÐp v¸n khu«n mãng</v>
          </cell>
          <cell r="E173" t="str">
            <v>m2</v>
          </cell>
          <cell r="F173">
            <v>8</v>
          </cell>
          <cell r="H173">
            <v>18600.12</v>
          </cell>
          <cell r="I173">
            <v>5309.19</v>
          </cell>
          <cell r="K173">
            <v>148800.95999999999</v>
          </cell>
          <cell r="L173">
            <v>42473.52</v>
          </cell>
        </row>
        <row r="174">
          <cell r="B174">
            <v>6</v>
          </cell>
          <cell r="C174" t="str">
            <v>PL§G</v>
          </cell>
          <cell r="D174" t="str">
            <v>D©y thÐp buéc</v>
          </cell>
          <cell r="E174" t="str">
            <v>kg</v>
          </cell>
          <cell r="F174">
            <v>1</v>
          </cell>
          <cell r="H174">
            <v>7000</v>
          </cell>
          <cell r="K174">
            <v>7000</v>
          </cell>
          <cell r="L174">
            <v>0</v>
          </cell>
        </row>
        <row r="175">
          <cell r="B175">
            <v>7</v>
          </cell>
          <cell r="C175" t="str">
            <v>031.123</v>
          </cell>
          <cell r="D175" t="str">
            <v>§µo ®Êt cÊp III s©u &lt;2m, S&lt;5m2</v>
          </cell>
          <cell r="E175" t="str">
            <v>m3</v>
          </cell>
          <cell r="F175">
            <v>24</v>
          </cell>
          <cell r="I175">
            <v>18517</v>
          </cell>
          <cell r="K175">
            <v>0</v>
          </cell>
          <cell r="L175">
            <v>444408</v>
          </cell>
        </row>
        <row r="176">
          <cell r="B176">
            <v>8</v>
          </cell>
          <cell r="C176" t="str">
            <v>033.103</v>
          </cell>
          <cell r="D176" t="str">
            <v>LÊp ®Êt</v>
          </cell>
          <cell r="E176" t="str">
            <v>m3</v>
          </cell>
          <cell r="F176">
            <v>17.78</v>
          </cell>
          <cell r="I176">
            <v>10890</v>
          </cell>
          <cell r="K176">
            <v>0</v>
          </cell>
          <cell r="L176">
            <v>193624.2</v>
          </cell>
        </row>
        <row r="177">
          <cell r="B177">
            <v>9</v>
          </cell>
          <cell r="C177" t="str">
            <v>033.103</v>
          </cell>
          <cell r="D177" t="str">
            <v>§¾p ®Êt ch©n cét</v>
          </cell>
          <cell r="E177" t="str">
            <v>m3</v>
          </cell>
          <cell r="F177">
            <v>0.5</v>
          </cell>
          <cell r="I177">
            <v>10890</v>
          </cell>
          <cell r="K177">
            <v>0</v>
          </cell>
          <cell r="L177">
            <v>5445</v>
          </cell>
        </row>
        <row r="178">
          <cell r="B178">
            <v>10</v>
          </cell>
          <cell r="C178" t="str">
            <v>CTÝnh</v>
          </cell>
          <cell r="D178" t="str">
            <v xml:space="preserve">V/c bª t«ng M50 </v>
          </cell>
          <cell r="E178" t="str">
            <v>m3</v>
          </cell>
          <cell r="F178">
            <v>0.83</v>
          </cell>
          <cell r="I178">
            <v>30374.152559999995</v>
          </cell>
          <cell r="K178">
            <v>0</v>
          </cell>
          <cell r="L178">
            <v>25210.546624799994</v>
          </cell>
        </row>
        <row r="179">
          <cell r="B179">
            <v>11</v>
          </cell>
          <cell r="C179" t="str">
            <v>CTÝnh</v>
          </cell>
          <cell r="D179" t="str">
            <v xml:space="preserve">V/c bª t«ng M200 </v>
          </cell>
          <cell r="E179" t="str">
            <v>m3</v>
          </cell>
          <cell r="F179">
            <v>3.44</v>
          </cell>
          <cell r="I179">
            <v>31393.107650999998</v>
          </cell>
          <cell r="K179">
            <v>0</v>
          </cell>
          <cell r="L179">
            <v>107992.29031944</v>
          </cell>
        </row>
        <row r="180">
          <cell r="B180">
            <v>12</v>
          </cell>
          <cell r="C180" t="str">
            <v>CTÝnh</v>
          </cell>
          <cell r="D180" t="str">
            <v xml:space="preserve">V/c bª t«ng M300 </v>
          </cell>
          <cell r="E180" t="str">
            <v>m3</v>
          </cell>
          <cell r="F180">
            <v>0.24</v>
          </cell>
          <cell r="I180">
            <v>31403.90049</v>
          </cell>
          <cell r="K180">
            <v>0</v>
          </cell>
          <cell r="L180">
            <v>7536.9361175999993</v>
          </cell>
        </row>
        <row r="181">
          <cell r="B181">
            <v>13</v>
          </cell>
          <cell r="C181" t="str">
            <v>02.1352</v>
          </cell>
          <cell r="D181" t="str">
            <v xml:space="preserve">V/c thÐp </v>
          </cell>
          <cell r="E181" t="str">
            <v>TÊn</v>
          </cell>
          <cell r="F181">
            <v>0.18</v>
          </cell>
          <cell r="I181">
            <v>27757.71</v>
          </cell>
          <cell r="K181">
            <v>0</v>
          </cell>
          <cell r="L181">
            <v>4996.3877999999995</v>
          </cell>
        </row>
        <row r="182">
          <cell r="B182">
            <v>14</v>
          </cell>
          <cell r="C182" t="str">
            <v>CTÝnh</v>
          </cell>
          <cell r="D182" t="str">
            <v>V/c dông cô thi c«ng</v>
          </cell>
          <cell r="E182" t="str">
            <v>TÊn</v>
          </cell>
          <cell r="F182">
            <v>0.2</v>
          </cell>
          <cell r="I182">
            <v>23984.9</v>
          </cell>
          <cell r="K182">
            <v>0</v>
          </cell>
          <cell r="L182">
            <v>4796.9800000000005</v>
          </cell>
        </row>
        <row r="183">
          <cell r="A183">
            <v>12</v>
          </cell>
          <cell r="D183" t="str">
            <v>Mãng cét ®óp M§ - 2a</v>
          </cell>
          <cell r="K183">
            <v>1547994.01887</v>
          </cell>
          <cell r="L183">
            <v>1167807.78888589</v>
          </cell>
          <cell r="M183">
            <v>2247.9575999999997</v>
          </cell>
        </row>
        <row r="184">
          <cell r="B184">
            <v>1</v>
          </cell>
          <cell r="C184" t="str">
            <v>04.3101a</v>
          </cell>
          <cell r="D184" t="str">
            <v>Bª t«ng lãt M 50</v>
          </cell>
          <cell r="E184" t="str">
            <v>m3</v>
          </cell>
          <cell r="F184">
            <v>0.432</v>
          </cell>
          <cell r="H184">
            <v>186516.995</v>
          </cell>
          <cell r="I184">
            <v>39733</v>
          </cell>
          <cell r="K184">
            <v>80575</v>
          </cell>
          <cell r="L184">
            <v>17164.655999999999</v>
          </cell>
        </row>
        <row r="185">
          <cell r="B185">
            <v>2</v>
          </cell>
          <cell r="C185" t="str">
            <v>04.3102</v>
          </cell>
          <cell r="D185" t="str">
            <v>Bª t«ng ®óc M 150</v>
          </cell>
          <cell r="E185" t="str">
            <v>m3</v>
          </cell>
          <cell r="F185">
            <v>2.2810000000000001</v>
          </cell>
          <cell r="H185">
            <v>282269.83</v>
          </cell>
          <cell r="I185">
            <v>45030</v>
          </cell>
          <cell r="K185">
            <v>643857.48223000008</v>
          </cell>
          <cell r="L185">
            <v>102713.43000000001</v>
          </cell>
        </row>
        <row r="186">
          <cell r="B186">
            <v>3</v>
          </cell>
          <cell r="C186" t="str">
            <v>04.3103</v>
          </cell>
          <cell r="D186" t="str">
            <v>Bª t«ng chÌn M200</v>
          </cell>
          <cell r="E186" t="str">
            <v>m3</v>
          </cell>
          <cell r="F186">
            <v>0.24</v>
          </cell>
          <cell r="H186">
            <v>392045.5259999999</v>
          </cell>
          <cell r="I186">
            <v>45030</v>
          </cell>
          <cell r="K186">
            <v>94090.926239999972</v>
          </cell>
          <cell r="L186">
            <v>10807.199999999999</v>
          </cell>
        </row>
        <row r="187">
          <cell r="B187">
            <v>4</v>
          </cell>
          <cell r="C187" t="str">
            <v>04.1101</v>
          </cell>
          <cell r="D187" t="str">
            <v>Cèt thÐp CT3, d=10</v>
          </cell>
          <cell r="E187" t="str">
            <v>kg</v>
          </cell>
          <cell r="F187">
            <v>82.339999999999989</v>
          </cell>
          <cell r="G187">
            <v>1.02</v>
          </cell>
          <cell r="H187">
            <v>4268</v>
          </cell>
          <cell r="I187">
            <v>202</v>
          </cell>
          <cell r="J187">
            <v>17</v>
          </cell>
          <cell r="K187">
            <v>358455.66239999991</v>
          </cell>
          <cell r="L187">
            <v>16965.333599999998</v>
          </cell>
          <cell r="M187">
            <v>1427.7755999999997</v>
          </cell>
        </row>
        <row r="188">
          <cell r="B188">
            <v>5</v>
          </cell>
          <cell r="C188" t="str">
            <v>04.1101</v>
          </cell>
          <cell r="D188" t="str">
            <v>Cèt thÐp CT3, d=12</v>
          </cell>
          <cell r="E188" t="str">
            <v>kg</v>
          </cell>
          <cell r="F188">
            <v>47.3</v>
          </cell>
          <cell r="G188">
            <v>1.02</v>
          </cell>
          <cell r="H188">
            <v>4268</v>
          </cell>
          <cell r="I188">
            <v>202</v>
          </cell>
          <cell r="J188">
            <v>17</v>
          </cell>
          <cell r="K188">
            <v>205913.92799999999</v>
          </cell>
          <cell r="L188">
            <v>9745.6919999999991</v>
          </cell>
          <cell r="M188">
            <v>820.1819999999999</v>
          </cell>
        </row>
        <row r="189">
          <cell r="B189">
            <v>6</v>
          </cell>
          <cell r="C189" t="str">
            <v>04.2001</v>
          </cell>
          <cell r="D189" t="str">
            <v>GhÐp v¸n khu«n mãng</v>
          </cell>
          <cell r="E189" t="str">
            <v>m2</v>
          </cell>
          <cell r="F189">
            <v>8.5</v>
          </cell>
          <cell r="H189">
            <v>18600.12</v>
          </cell>
          <cell r="I189">
            <v>5309.19</v>
          </cell>
          <cell r="K189">
            <v>158101.01999999999</v>
          </cell>
          <cell r="L189">
            <v>45128.114999999998</v>
          </cell>
        </row>
        <row r="190">
          <cell r="B190">
            <v>7</v>
          </cell>
          <cell r="C190" t="str">
            <v>PL§G</v>
          </cell>
          <cell r="D190" t="str">
            <v>D©y thÐp buéc</v>
          </cell>
          <cell r="E190" t="str">
            <v>kg</v>
          </cell>
          <cell r="F190">
            <v>1</v>
          </cell>
          <cell r="H190">
            <v>7000</v>
          </cell>
          <cell r="K190">
            <v>7000</v>
          </cell>
          <cell r="L190">
            <v>0</v>
          </cell>
        </row>
        <row r="191">
          <cell r="B191">
            <v>8</v>
          </cell>
          <cell r="C191" t="str">
            <v>03.1113</v>
          </cell>
          <cell r="D191" t="str">
            <v>§µo ®Êt cÊp III s©u &lt;2m, S&lt;5m2</v>
          </cell>
          <cell r="E191" t="str">
            <v>m3</v>
          </cell>
          <cell r="F191">
            <v>25.2</v>
          </cell>
          <cell r="I191">
            <v>24428</v>
          </cell>
          <cell r="K191">
            <v>0</v>
          </cell>
          <cell r="L191">
            <v>615585.6</v>
          </cell>
        </row>
        <row r="192">
          <cell r="B192">
            <v>9</v>
          </cell>
          <cell r="C192" t="str">
            <v>03.2203</v>
          </cell>
          <cell r="D192" t="str">
            <v>LÊp ®Êt</v>
          </cell>
          <cell r="E192" t="str">
            <v>m3</v>
          </cell>
          <cell r="F192">
            <v>22.247</v>
          </cell>
          <cell r="I192">
            <v>10890</v>
          </cell>
          <cell r="K192">
            <v>0</v>
          </cell>
          <cell r="L192">
            <v>242269.83</v>
          </cell>
        </row>
        <row r="193">
          <cell r="B193">
            <v>10</v>
          </cell>
          <cell r="C193" t="str">
            <v>03.2203</v>
          </cell>
          <cell r="D193" t="str">
            <v>§¾p ®Êt ch©n cét</v>
          </cell>
          <cell r="E193" t="str">
            <v>m3</v>
          </cell>
          <cell r="F193">
            <v>0.56999999999999995</v>
          </cell>
          <cell r="I193">
            <v>10890</v>
          </cell>
          <cell r="K193">
            <v>0</v>
          </cell>
          <cell r="L193">
            <v>6207.2999999999993</v>
          </cell>
        </row>
        <row r="194">
          <cell r="B194">
            <v>11</v>
          </cell>
          <cell r="C194" t="str">
            <v>CTÝnh</v>
          </cell>
          <cell r="D194" t="str">
            <v xml:space="preserve">V/c bª t«ng M50 </v>
          </cell>
          <cell r="E194" t="str">
            <v>m3</v>
          </cell>
          <cell r="F194">
            <v>0.432</v>
          </cell>
          <cell r="I194">
            <v>30374.152559999995</v>
          </cell>
          <cell r="K194">
            <v>0</v>
          </cell>
          <cell r="L194">
            <v>13121.633905919998</v>
          </cell>
        </row>
        <row r="195">
          <cell r="B195">
            <v>12</v>
          </cell>
          <cell r="C195" t="str">
            <v>CTÝnh</v>
          </cell>
          <cell r="D195" t="str">
            <v xml:space="preserve">V/c bª t«ng M200 </v>
          </cell>
          <cell r="E195" t="str">
            <v>m3</v>
          </cell>
          <cell r="F195">
            <v>2.2810000000000001</v>
          </cell>
          <cell r="I195">
            <v>31403.90049</v>
          </cell>
          <cell r="K195">
            <v>0</v>
          </cell>
          <cell r="L195">
            <v>71632.297017689998</v>
          </cell>
        </row>
        <row r="196">
          <cell r="B196">
            <v>13</v>
          </cell>
          <cell r="C196" t="str">
            <v>CTÝnh</v>
          </cell>
          <cell r="D196" t="str">
            <v xml:space="preserve">V/c bª t«ng M300 </v>
          </cell>
          <cell r="E196" t="str">
            <v>m3</v>
          </cell>
          <cell r="F196">
            <v>0.24</v>
          </cell>
          <cell r="I196">
            <v>33588.412759499995</v>
          </cell>
          <cell r="K196">
            <v>0</v>
          </cell>
          <cell r="L196">
            <v>8061.219062279999</v>
          </cell>
        </row>
        <row r="197">
          <cell r="B197">
            <v>14</v>
          </cell>
          <cell r="C197" t="str">
            <v>02.1352</v>
          </cell>
          <cell r="D197" t="str">
            <v xml:space="preserve">V/c thÐp </v>
          </cell>
          <cell r="E197" t="str">
            <v>TÊn</v>
          </cell>
          <cell r="F197">
            <v>0.13</v>
          </cell>
          <cell r="I197">
            <v>27757.71</v>
          </cell>
          <cell r="K197">
            <v>0</v>
          </cell>
          <cell r="L197">
            <v>3608.5023000000001</v>
          </cell>
        </row>
        <row r="198">
          <cell r="B198">
            <v>15</v>
          </cell>
          <cell r="C198" t="str">
            <v>CTÝnh</v>
          </cell>
          <cell r="D198" t="str">
            <v>V/c dông cô thi c«ng</v>
          </cell>
          <cell r="E198" t="str">
            <v>TÊn</v>
          </cell>
          <cell r="F198">
            <v>0.2</v>
          </cell>
          <cell r="I198">
            <v>23984.9</v>
          </cell>
          <cell r="K198">
            <v>0</v>
          </cell>
          <cell r="L198">
            <v>4796.9800000000005</v>
          </cell>
        </row>
        <row r="199">
          <cell r="A199">
            <v>13</v>
          </cell>
          <cell r="D199" t="str">
            <v>Mãng nÐo ch÷ T( MN - T)</v>
          </cell>
          <cell r="K199">
            <v>234709.69783849997</v>
          </cell>
          <cell r="L199">
            <v>287636.97624446993</v>
          </cell>
          <cell r="M199">
            <v>509.62259999999998</v>
          </cell>
        </row>
        <row r="200">
          <cell r="B200">
            <v>1</v>
          </cell>
          <cell r="C200" t="str">
            <v>03.1113</v>
          </cell>
          <cell r="D200" t="str">
            <v>§µo ®Êt cÊp III s©u&lt;2m;S&lt;5m2</v>
          </cell>
          <cell r="E200" t="str">
            <v>m3</v>
          </cell>
          <cell r="F200">
            <v>6.8999999999999995</v>
          </cell>
          <cell r="I200">
            <v>24428</v>
          </cell>
          <cell r="K200">
            <v>0</v>
          </cell>
          <cell r="L200">
            <v>168553.19999999998</v>
          </cell>
        </row>
        <row r="201">
          <cell r="B201">
            <v>2</v>
          </cell>
          <cell r="C201" t="str">
            <v>03.2203</v>
          </cell>
          <cell r="D201" t="str">
            <v>LÊp mãng ®Êt cÊp III</v>
          </cell>
          <cell r="E201" t="str">
            <v>m3</v>
          </cell>
          <cell r="F201">
            <v>6.6609999999999996</v>
          </cell>
          <cell r="I201">
            <v>10890</v>
          </cell>
          <cell r="K201">
            <v>0</v>
          </cell>
          <cell r="L201">
            <v>72538.289999999994</v>
          </cell>
        </row>
        <row r="202">
          <cell r="B202">
            <v>3</v>
          </cell>
          <cell r="C202" t="str">
            <v>04.3313</v>
          </cell>
          <cell r="D202" t="str">
            <v>Bª t«ng ®óc s½n th.ngang M200</v>
          </cell>
          <cell r="E202" t="str">
            <v>m3</v>
          </cell>
          <cell r="F202">
            <v>0.23899999999999999</v>
          </cell>
          <cell r="H202">
            <v>296383.32150000002</v>
          </cell>
          <cell r="I202">
            <v>45030</v>
          </cell>
          <cell r="K202">
            <v>70835.613838500009</v>
          </cell>
          <cell r="L202">
            <v>10762.17</v>
          </cell>
        </row>
        <row r="203">
          <cell r="B203">
            <v>4</v>
          </cell>
          <cell r="C203" t="str">
            <v>04.1101</v>
          </cell>
          <cell r="D203" t="str">
            <v>Cèt thÐp CT3; d=6</v>
          </cell>
          <cell r="E203" t="str">
            <v>kg</v>
          </cell>
          <cell r="F203">
            <v>5.0299999999999994</v>
          </cell>
          <cell r="G203">
            <v>1.02</v>
          </cell>
          <cell r="H203">
            <v>4620</v>
          </cell>
          <cell r="I203">
            <v>202</v>
          </cell>
          <cell r="J203">
            <v>17</v>
          </cell>
          <cell r="K203">
            <v>23703.371999999996</v>
          </cell>
          <cell r="L203">
            <v>1036.3811999999998</v>
          </cell>
          <cell r="M203">
            <v>87.220199999999991</v>
          </cell>
        </row>
        <row r="204">
          <cell r="B204">
            <v>5</v>
          </cell>
          <cell r="C204" t="str">
            <v>04.1102</v>
          </cell>
          <cell r="D204" t="str">
            <v>Cèt thÐp CT3; d=12</v>
          </cell>
          <cell r="E204" t="str">
            <v>kg</v>
          </cell>
          <cell r="F204">
            <v>24.36</v>
          </cell>
          <cell r="G204">
            <v>1.02</v>
          </cell>
          <cell r="H204">
            <v>4460</v>
          </cell>
          <cell r="I204">
            <v>202</v>
          </cell>
          <cell r="J204">
            <v>17</v>
          </cell>
          <cell r="K204">
            <v>110818.51199999999</v>
          </cell>
          <cell r="L204">
            <v>5019.1343999999999</v>
          </cell>
          <cell r="M204">
            <v>422.4024</v>
          </cell>
        </row>
        <row r="205">
          <cell r="B205">
            <v>6</v>
          </cell>
          <cell r="C205" t="str">
            <v>§G67</v>
          </cell>
          <cell r="D205" t="str">
            <v>Chi tiÕt m¹ kÏm</v>
          </cell>
          <cell r="E205" t="str">
            <v>kg</v>
          </cell>
          <cell r="F205">
            <v>3.0259999999999998</v>
          </cell>
          <cell r="H205">
            <v>9700</v>
          </cell>
          <cell r="K205">
            <v>29352.199999999997</v>
          </cell>
          <cell r="L205">
            <v>0</v>
          </cell>
        </row>
        <row r="206">
          <cell r="B206">
            <v>7</v>
          </cell>
          <cell r="C206" t="str">
            <v>043801</v>
          </cell>
          <cell r="D206" t="str">
            <v>L¾p mãng nÐo</v>
          </cell>
          <cell r="E206" t="str">
            <v>C¸i</v>
          </cell>
          <cell r="F206">
            <v>1</v>
          </cell>
          <cell r="I206">
            <v>11051</v>
          </cell>
          <cell r="K206">
            <v>0</v>
          </cell>
          <cell r="L206">
            <v>11051</v>
          </cell>
        </row>
        <row r="207">
          <cell r="B207">
            <v>8</v>
          </cell>
          <cell r="C207" t="str">
            <v>02.1452</v>
          </cell>
          <cell r="D207" t="str">
            <v>VËn chuyÓn mãng nÐo +Bèc dì</v>
          </cell>
          <cell r="E207" t="str">
            <v>TÊn</v>
          </cell>
          <cell r="F207">
            <v>0.23</v>
          </cell>
          <cell r="I207">
            <v>23802.149999999998</v>
          </cell>
          <cell r="K207">
            <v>0</v>
          </cell>
          <cell r="L207">
            <v>5474.4944999999998</v>
          </cell>
        </row>
        <row r="208">
          <cell r="B208">
            <v>9</v>
          </cell>
          <cell r="C208" t="str">
            <v>CTÝnh</v>
          </cell>
          <cell r="D208" t="str">
            <v>VËn chuyÓn bª t«ng M200</v>
          </cell>
          <cell r="E208" t="str">
            <v>m3</v>
          </cell>
          <cell r="F208">
            <v>0.23899999999999999</v>
          </cell>
          <cell r="I208">
            <v>31403.90049</v>
          </cell>
          <cell r="L208">
            <v>7505.5322171099997</v>
          </cell>
        </row>
        <row r="209">
          <cell r="B209">
            <v>10</v>
          </cell>
          <cell r="C209" t="str">
            <v>02.1352</v>
          </cell>
          <cell r="D209" t="str">
            <v>VËn chuyÓn thÐp +bèc dì</v>
          </cell>
          <cell r="E209" t="str">
            <v>TÊn</v>
          </cell>
          <cell r="F209">
            <v>3.2415999999999993E-2</v>
          </cell>
          <cell r="I209">
            <v>27757.71</v>
          </cell>
          <cell r="K209">
            <v>0</v>
          </cell>
          <cell r="L209">
            <v>899.79392735999977</v>
          </cell>
        </row>
        <row r="210">
          <cell r="B210">
            <v>11</v>
          </cell>
          <cell r="C210" t="str">
            <v>CTÝnh</v>
          </cell>
          <cell r="D210" t="str">
            <v>VËn chuyÓn dông cô thi c«ng</v>
          </cell>
          <cell r="E210" t="str">
            <v>TÊn</v>
          </cell>
          <cell r="F210">
            <v>0.2</v>
          </cell>
          <cell r="I210">
            <v>23984.9</v>
          </cell>
          <cell r="K210">
            <v>0</v>
          </cell>
          <cell r="L210">
            <v>4796.9800000000005</v>
          </cell>
        </row>
        <row r="211">
          <cell r="A211">
            <v>14</v>
          </cell>
          <cell r="D211" t="str">
            <v>L¸t vØa hÌ hè mãng</v>
          </cell>
          <cell r="K211">
            <v>24484.425099999997</v>
          </cell>
          <cell r="L211">
            <v>3158</v>
          </cell>
          <cell r="M211">
            <v>0</v>
          </cell>
        </row>
        <row r="212">
          <cell r="B212">
            <v>1</v>
          </cell>
          <cell r="C212" t="str">
            <v>PLDG</v>
          </cell>
          <cell r="D212" t="str">
            <v>G¹ch xi m¨ng 30 x 30</v>
          </cell>
          <cell r="E212" t="str">
            <v>Viªn</v>
          </cell>
          <cell r="F212">
            <v>11.5</v>
          </cell>
          <cell r="G212">
            <v>1.0249999999999999</v>
          </cell>
          <cell r="H212">
            <v>1454</v>
          </cell>
          <cell r="K212">
            <v>17139.024999999998</v>
          </cell>
          <cell r="L212">
            <v>0</v>
          </cell>
          <cell r="M212">
            <v>0</v>
          </cell>
        </row>
        <row r="213">
          <cell r="B213">
            <v>2</v>
          </cell>
          <cell r="C213" t="str">
            <v>PLDG</v>
          </cell>
          <cell r="D213" t="str">
            <v>V÷a M75</v>
          </cell>
          <cell r="E213" t="str">
            <v>m3</v>
          </cell>
          <cell r="F213">
            <v>2.5499999999999998E-2</v>
          </cell>
          <cell r="G213">
            <v>1.0249999999999999</v>
          </cell>
          <cell r="H213">
            <v>278008</v>
          </cell>
          <cell r="K213">
            <v>7266.4340999999986</v>
          </cell>
          <cell r="L213">
            <v>0</v>
          </cell>
          <cell r="M213">
            <v>0</v>
          </cell>
        </row>
        <row r="214">
          <cell r="B214">
            <v>3</v>
          </cell>
          <cell r="C214" t="str">
            <v>PLDG</v>
          </cell>
          <cell r="D214" t="str">
            <v>Xi m¨ng PC 30</v>
          </cell>
          <cell r="E214" t="str">
            <v>kg</v>
          </cell>
          <cell r="F214">
            <v>0.12</v>
          </cell>
          <cell r="G214">
            <v>1.0249999999999999</v>
          </cell>
          <cell r="H214">
            <v>642</v>
          </cell>
          <cell r="K214">
            <v>78.965999999999994</v>
          </cell>
          <cell r="L214">
            <v>0</v>
          </cell>
          <cell r="M214">
            <v>0</v>
          </cell>
        </row>
        <row r="215">
          <cell r="B215">
            <v>4</v>
          </cell>
          <cell r="D215" t="str">
            <v>Nh©n c«ng 3,7/7</v>
          </cell>
          <cell r="E215" t="str">
            <v>c«ng</v>
          </cell>
          <cell r="F215">
            <v>0.2</v>
          </cell>
          <cell r="I215">
            <v>15790</v>
          </cell>
          <cell r="L215">
            <v>3158</v>
          </cell>
        </row>
        <row r="216">
          <cell r="A216">
            <v>15</v>
          </cell>
          <cell r="D216" t="str">
            <v xml:space="preserve">TiÕp ®Þa RC - 2 </v>
          </cell>
          <cell r="K216">
            <v>161934.99</v>
          </cell>
          <cell r="L216">
            <v>201816.15622246999</v>
          </cell>
          <cell r="M216">
            <v>1552</v>
          </cell>
        </row>
        <row r="217">
          <cell r="B217">
            <v>1</v>
          </cell>
          <cell r="C217" t="str">
            <v>Q4/2001</v>
          </cell>
          <cell r="D217" t="str">
            <v>S¾t L63 x 6</v>
          </cell>
          <cell r="E217" t="str">
            <v>kg</v>
          </cell>
          <cell r="F217">
            <v>16.920000000000002</v>
          </cell>
          <cell r="G217">
            <v>1.0249999999999999</v>
          </cell>
          <cell r="H217">
            <v>4430</v>
          </cell>
          <cell r="K217">
            <v>76829.490000000005</v>
          </cell>
          <cell r="L217">
            <v>0</v>
          </cell>
          <cell r="M217">
            <v>0</v>
          </cell>
        </row>
        <row r="218">
          <cell r="B218">
            <v>2</v>
          </cell>
          <cell r="C218" t="str">
            <v>Q4/2001</v>
          </cell>
          <cell r="D218" t="str">
            <v>S¾t dÑt 40 x 4</v>
          </cell>
          <cell r="F218">
            <v>12.4</v>
          </cell>
          <cell r="G218">
            <v>1.0249999999999999</v>
          </cell>
          <cell r="H218">
            <v>4260</v>
          </cell>
          <cell r="K218">
            <v>54144.6</v>
          </cell>
          <cell r="L218">
            <v>0</v>
          </cell>
        </row>
        <row r="219">
          <cell r="B219">
            <v>3</v>
          </cell>
          <cell r="C219" t="str">
            <v>§G67</v>
          </cell>
          <cell r="D219" t="str">
            <v>S¾t m¹ c¸c lo¹i</v>
          </cell>
          <cell r="F219">
            <v>3.0369999999999999</v>
          </cell>
          <cell r="H219">
            <v>9700</v>
          </cell>
          <cell r="K219">
            <v>29458.899999999998</v>
          </cell>
          <cell r="L219">
            <v>0</v>
          </cell>
        </row>
        <row r="220">
          <cell r="B220">
            <v>4</v>
          </cell>
          <cell r="C220" t="str">
            <v>03.3103</v>
          </cell>
          <cell r="D220" t="str">
            <v>§µo ®Êt cÊp III</v>
          </cell>
          <cell r="E220" t="str">
            <v>m3</v>
          </cell>
          <cell r="F220">
            <v>5.5</v>
          </cell>
          <cell r="I220">
            <v>21926</v>
          </cell>
          <cell r="K220">
            <v>0</v>
          </cell>
          <cell r="L220">
            <v>120593</v>
          </cell>
        </row>
        <row r="221">
          <cell r="B221">
            <v>5</v>
          </cell>
          <cell r="C221" t="str">
            <v>03.3203</v>
          </cell>
          <cell r="D221" t="str">
            <v>LÊp ®Êt cÊp III</v>
          </cell>
          <cell r="E221" t="str">
            <v>m3</v>
          </cell>
          <cell r="F221">
            <v>6</v>
          </cell>
          <cell r="I221">
            <v>10007</v>
          </cell>
          <cell r="K221">
            <v>0</v>
          </cell>
          <cell r="L221">
            <v>60042</v>
          </cell>
        </row>
        <row r="222">
          <cell r="B222">
            <v>6</v>
          </cell>
          <cell r="C222" t="str">
            <v>05.7002</v>
          </cell>
          <cell r="D222" t="str">
            <v>KÐo r¶i tiÕp ®Þa</v>
          </cell>
          <cell r="F222">
            <v>12.4</v>
          </cell>
          <cell r="I222">
            <v>155</v>
          </cell>
          <cell r="K222">
            <v>0</v>
          </cell>
          <cell r="L222">
            <v>1922</v>
          </cell>
        </row>
        <row r="223">
          <cell r="B223">
            <v>7</v>
          </cell>
          <cell r="C223" t="str">
            <v>05.8003</v>
          </cell>
          <cell r="D223" t="str">
            <v>§ãng cäc tiÕp ®Þa</v>
          </cell>
          <cell r="F223">
            <v>2</v>
          </cell>
          <cell r="H223">
            <v>751</v>
          </cell>
          <cell r="I223">
            <v>6782</v>
          </cell>
          <cell r="J223">
            <v>776</v>
          </cell>
          <cell r="K223">
            <v>1502</v>
          </cell>
          <cell r="L223">
            <v>13564</v>
          </cell>
          <cell r="M223">
            <v>1552</v>
          </cell>
        </row>
        <row r="224">
          <cell r="B224">
            <v>8</v>
          </cell>
          <cell r="C224" t="str">
            <v>CTÝnh</v>
          </cell>
          <cell r="D224" t="str">
            <v>VËn chuyÓn dông cô thi c«ng</v>
          </cell>
          <cell r="F224">
            <v>0.2</v>
          </cell>
          <cell r="I224">
            <v>23985</v>
          </cell>
          <cell r="K224">
            <v>0</v>
          </cell>
          <cell r="L224">
            <v>4797</v>
          </cell>
        </row>
        <row r="225">
          <cell r="B225">
            <v>9</v>
          </cell>
          <cell r="C225" t="str">
            <v>02.1352</v>
          </cell>
          <cell r="D225" t="str">
            <v>VËn chuyÓn thÐp</v>
          </cell>
          <cell r="E225" t="str">
            <v>TÊn</v>
          </cell>
          <cell r="F225">
            <v>3.2356999999999997E-2</v>
          </cell>
          <cell r="I225">
            <v>27757.71</v>
          </cell>
          <cell r="K225">
            <v>0</v>
          </cell>
          <cell r="L225">
            <v>898.15622246999988</v>
          </cell>
        </row>
        <row r="226">
          <cell r="A226">
            <v>16</v>
          </cell>
          <cell r="D226" t="str">
            <v>TiÕp ®Þa R3</v>
          </cell>
          <cell r="K226">
            <v>0</v>
          </cell>
          <cell r="L226">
            <v>582921.40224870003</v>
          </cell>
          <cell r="M226">
            <v>1954.1291580000004</v>
          </cell>
        </row>
        <row r="227">
          <cell r="B227">
            <v>1</v>
          </cell>
          <cell r="C227" t="str">
            <v>05.7002</v>
          </cell>
          <cell r="D227" t="str">
            <v>S¶n xuÊt vµ l¾p ®Æt tiÕp ®Þa; d=12</v>
          </cell>
          <cell r="E227" t="str">
            <v>kg</v>
          </cell>
          <cell r="F227">
            <v>43.77</v>
          </cell>
          <cell r="G227">
            <v>1.02</v>
          </cell>
          <cell r="H227">
            <v>4500</v>
          </cell>
          <cell r="I227">
            <v>154.83000000000001</v>
          </cell>
          <cell r="K227">
            <v>196965</v>
          </cell>
          <cell r="L227">
            <v>6912.447282000001</v>
          </cell>
          <cell r="M227">
            <v>1954.1291580000004</v>
          </cell>
        </row>
        <row r="228">
          <cell r="B228">
            <v>2</v>
          </cell>
          <cell r="C228" t="str">
            <v>PL§G</v>
          </cell>
          <cell r="D228" t="str">
            <v>Chi tiÕt m¹ kÏm</v>
          </cell>
          <cell r="E228" t="str">
            <v>kg</v>
          </cell>
          <cell r="F228">
            <v>1.52</v>
          </cell>
          <cell r="H228">
            <v>9500</v>
          </cell>
          <cell r="K228">
            <v>14440</v>
          </cell>
          <cell r="L228">
            <v>0</v>
          </cell>
        </row>
        <row r="229">
          <cell r="B229">
            <v>3</v>
          </cell>
          <cell r="C229" t="str">
            <v>03.3103</v>
          </cell>
          <cell r="D229" t="str">
            <v>§µo ®Êt cÊp III</v>
          </cell>
          <cell r="E229" t="str">
            <v>m3</v>
          </cell>
          <cell r="F229">
            <v>18</v>
          </cell>
          <cell r="I229">
            <v>21926</v>
          </cell>
          <cell r="K229">
            <v>0</v>
          </cell>
          <cell r="L229">
            <v>394668</v>
          </cell>
        </row>
        <row r="230">
          <cell r="B230">
            <v>4</v>
          </cell>
          <cell r="C230" t="str">
            <v>03.3203</v>
          </cell>
          <cell r="D230" t="str">
            <v>LÊp ®Êt cÊp III</v>
          </cell>
          <cell r="E230" t="str">
            <v>m3</v>
          </cell>
          <cell r="F230">
            <v>18</v>
          </cell>
          <cell r="I230">
            <v>10007</v>
          </cell>
          <cell r="K230">
            <v>0</v>
          </cell>
          <cell r="L230">
            <v>180126</v>
          </cell>
        </row>
        <row r="231">
          <cell r="B231">
            <v>5</v>
          </cell>
          <cell r="C231" t="str">
            <v>02.1352</v>
          </cell>
          <cell r="D231" t="str">
            <v>VËn chuyÓn thÐp</v>
          </cell>
          <cell r="E231" t="str">
            <v>TÊn</v>
          </cell>
          <cell r="F231">
            <v>4.3770000000000003E-2</v>
          </cell>
          <cell r="I231">
            <v>27757.71</v>
          </cell>
          <cell r="K231">
            <v>0</v>
          </cell>
          <cell r="L231">
            <v>1214.9549667000001</v>
          </cell>
        </row>
        <row r="232">
          <cell r="A232">
            <v>17</v>
          </cell>
          <cell r="D232" t="str">
            <v>TiÕp ®Þa R3C3</v>
          </cell>
          <cell r="K232">
            <v>0</v>
          </cell>
          <cell r="L232" t="e">
            <v>#REF!</v>
          </cell>
          <cell r="M232" t="e">
            <v>#REF!</v>
          </cell>
        </row>
        <row r="233">
          <cell r="B233">
            <v>1</v>
          </cell>
          <cell r="C233" t="str">
            <v>05.7002</v>
          </cell>
          <cell r="D233" t="str">
            <v>S¶n xuÊt vµ l¾p ®Æt tiÕp ®Þa; d=12</v>
          </cell>
          <cell r="E233" t="str">
            <v>kg</v>
          </cell>
          <cell r="F233">
            <v>43.5</v>
          </cell>
          <cell r="G233">
            <v>1.02</v>
          </cell>
          <cell r="H233">
            <v>4500</v>
          </cell>
          <cell r="I233">
            <v>155</v>
          </cell>
          <cell r="K233">
            <v>195750</v>
          </cell>
          <cell r="L233">
            <v>6877.3499999999995</v>
          </cell>
          <cell r="M233">
            <v>0</v>
          </cell>
        </row>
        <row r="234">
          <cell r="B234">
            <v>2</v>
          </cell>
          <cell r="C234" t="str">
            <v>05.8003</v>
          </cell>
          <cell r="D234" t="str">
            <v>S¶n xuÊt vµ ®ãng cäc tiÕp ®Þa</v>
          </cell>
          <cell r="E234" t="str">
            <v>Cäc</v>
          </cell>
          <cell r="F234">
            <v>3</v>
          </cell>
          <cell r="H234">
            <v>751</v>
          </cell>
          <cell r="I234" t="e">
            <v>#REF!</v>
          </cell>
          <cell r="J234" t="e">
            <v>#REF!</v>
          </cell>
          <cell r="K234">
            <v>2253</v>
          </cell>
          <cell r="L234" t="e">
            <v>#REF!</v>
          </cell>
          <cell r="M234" t="e">
            <v>#REF!</v>
          </cell>
        </row>
        <row r="235">
          <cell r="B235">
            <v>3</v>
          </cell>
          <cell r="C235" t="str">
            <v>PLDG</v>
          </cell>
          <cell r="D235" t="str">
            <v>S¾t lµm cäc tiÕp ®Þa</v>
          </cell>
          <cell r="E235" t="str">
            <v>kg</v>
          </cell>
          <cell r="F235">
            <v>34.590000000000003</v>
          </cell>
          <cell r="G235">
            <v>1.02</v>
          </cell>
          <cell r="H235">
            <v>4500</v>
          </cell>
          <cell r="K235">
            <v>155655.00000000003</v>
          </cell>
          <cell r="L235">
            <v>0</v>
          </cell>
          <cell r="M235">
            <v>0</v>
          </cell>
        </row>
        <row r="236">
          <cell r="B236">
            <v>4</v>
          </cell>
          <cell r="C236" t="str">
            <v>PL§G</v>
          </cell>
          <cell r="D236" t="str">
            <v>Chi tiÕt m¹ kÏm</v>
          </cell>
          <cell r="E236" t="str">
            <v>kg</v>
          </cell>
          <cell r="F236">
            <v>1.52</v>
          </cell>
          <cell r="H236">
            <v>9500</v>
          </cell>
          <cell r="K236">
            <v>14440</v>
          </cell>
          <cell r="L236">
            <v>0</v>
          </cell>
        </row>
        <row r="237">
          <cell r="B237">
            <v>5</v>
          </cell>
          <cell r="C237" t="str">
            <v>03.3103</v>
          </cell>
          <cell r="D237" t="str">
            <v>§µo ®Êt cÊp III</v>
          </cell>
          <cell r="E237" t="str">
            <v>m3</v>
          </cell>
          <cell r="F237">
            <v>18</v>
          </cell>
          <cell r="I237">
            <v>21926</v>
          </cell>
          <cell r="K237">
            <v>0</v>
          </cell>
          <cell r="L237">
            <v>394668</v>
          </cell>
        </row>
        <row r="238">
          <cell r="B238">
            <v>6</v>
          </cell>
          <cell r="C238" t="str">
            <v>03.3203</v>
          </cell>
          <cell r="D238" t="str">
            <v>LÊp ®Êt cÊp III</v>
          </cell>
          <cell r="E238" t="str">
            <v>m3</v>
          </cell>
          <cell r="F238">
            <v>18</v>
          </cell>
          <cell r="I238">
            <v>10007</v>
          </cell>
          <cell r="K238">
            <v>0</v>
          </cell>
          <cell r="L238">
            <v>180126</v>
          </cell>
        </row>
        <row r="239">
          <cell r="B239">
            <v>7</v>
          </cell>
          <cell r="C239" t="str">
            <v>02.1352</v>
          </cell>
          <cell r="D239" t="str">
            <v>VËn chuyÓn thÐp</v>
          </cell>
          <cell r="E239" t="str">
            <v>TÊn</v>
          </cell>
          <cell r="F239">
            <v>7.8090000000000007E-2</v>
          </cell>
          <cell r="I239">
            <v>27757.71</v>
          </cell>
          <cell r="K239">
            <v>0</v>
          </cell>
          <cell r="L239">
            <v>2167.5995739</v>
          </cell>
        </row>
        <row r="240">
          <cell r="A240">
            <v>18</v>
          </cell>
          <cell r="D240" t="str">
            <v>TiÕp ®Þa R3C6</v>
          </cell>
          <cell r="K240">
            <v>0</v>
          </cell>
          <cell r="L240" t="e">
            <v>#REF!</v>
          </cell>
          <cell r="M240" t="e">
            <v>#REF!</v>
          </cell>
        </row>
        <row r="241">
          <cell r="B241">
            <v>1</v>
          </cell>
          <cell r="C241" t="str">
            <v>05.7002</v>
          </cell>
          <cell r="D241" t="str">
            <v>S¶n xuÊt vµ l¾p ®Æt tiÕp ®Þa; d=12</v>
          </cell>
          <cell r="E241" t="str">
            <v>kg</v>
          </cell>
          <cell r="F241">
            <v>43.5</v>
          </cell>
          <cell r="G241">
            <v>1.02</v>
          </cell>
          <cell r="H241">
            <v>4200</v>
          </cell>
          <cell r="I241">
            <v>155</v>
          </cell>
          <cell r="K241">
            <v>182700</v>
          </cell>
          <cell r="L241">
            <v>6877.3499999999995</v>
          </cell>
          <cell r="M241">
            <v>0</v>
          </cell>
        </row>
        <row r="242">
          <cell r="B242">
            <v>2</v>
          </cell>
          <cell r="C242" t="str">
            <v>05.8003</v>
          </cell>
          <cell r="D242" t="str">
            <v>S¶n xuÊt vµ ®ãng cäc tiÕp ®Þa</v>
          </cell>
          <cell r="E242" t="str">
            <v>Cäc</v>
          </cell>
          <cell r="F242">
            <v>6</v>
          </cell>
          <cell r="H242">
            <v>751</v>
          </cell>
          <cell r="I242" t="e">
            <v>#REF!</v>
          </cell>
          <cell r="J242" t="e">
            <v>#REF!</v>
          </cell>
          <cell r="K242">
            <v>4506</v>
          </cell>
          <cell r="L242" t="e">
            <v>#REF!</v>
          </cell>
          <cell r="M242" t="e">
            <v>#REF!</v>
          </cell>
        </row>
        <row r="243">
          <cell r="B243">
            <v>3</v>
          </cell>
          <cell r="C243" t="str">
            <v>PLDG</v>
          </cell>
          <cell r="D243" t="str">
            <v>S¾t lµm cäc tiÕp ®Þa</v>
          </cell>
          <cell r="E243" t="str">
            <v>kg</v>
          </cell>
          <cell r="F243">
            <v>68.91</v>
          </cell>
          <cell r="G243">
            <v>1.02</v>
          </cell>
          <cell r="H243">
            <v>4500</v>
          </cell>
          <cell r="K243">
            <v>310095</v>
          </cell>
          <cell r="L243">
            <v>0</v>
          </cell>
          <cell r="M243">
            <v>0</v>
          </cell>
        </row>
        <row r="244">
          <cell r="B244">
            <v>4</v>
          </cell>
          <cell r="C244" t="str">
            <v>PL§G</v>
          </cell>
          <cell r="D244" t="str">
            <v>Chi tiÕt m¹ kÏm</v>
          </cell>
          <cell r="E244" t="str">
            <v>kg</v>
          </cell>
          <cell r="F244">
            <v>1.52</v>
          </cell>
          <cell r="H244">
            <v>9500</v>
          </cell>
          <cell r="K244">
            <v>14440</v>
          </cell>
          <cell r="L244">
            <v>0</v>
          </cell>
        </row>
        <row r="245">
          <cell r="B245">
            <v>5</v>
          </cell>
          <cell r="C245" t="str">
            <v>03.3103</v>
          </cell>
          <cell r="D245" t="str">
            <v>§µo ®Êt cÊp III</v>
          </cell>
          <cell r="E245" t="str">
            <v>m3</v>
          </cell>
          <cell r="F245">
            <v>18</v>
          </cell>
          <cell r="I245">
            <v>21926</v>
          </cell>
          <cell r="K245">
            <v>0</v>
          </cell>
          <cell r="L245">
            <v>394668</v>
          </cell>
        </row>
        <row r="246">
          <cell r="B246">
            <v>6</v>
          </cell>
          <cell r="C246" t="str">
            <v>03.3203</v>
          </cell>
          <cell r="D246" t="str">
            <v>LÊp ®Êt cÊp III</v>
          </cell>
          <cell r="E246" t="str">
            <v>m3</v>
          </cell>
          <cell r="F246">
            <v>18</v>
          </cell>
          <cell r="I246">
            <v>10007</v>
          </cell>
          <cell r="K246">
            <v>0</v>
          </cell>
          <cell r="L246">
            <v>180126</v>
          </cell>
        </row>
        <row r="247">
          <cell r="B247">
            <v>7</v>
          </cell>
          <cell r="C247" t="str">
            <v>02.1352</v>
          </cell>
          <cell r="D247" t="str">
            <v>VËn chuyÓn thÐp</v>
          </cell>
          <cell r="E247" t="str">
            <v>TÊn</v>
          </cell>
          <cell r="F247">
            <v>0.11241</v>
          </cell>
          <cell r="I247">
            <v>27757.71</v>
          </cell>
          <cell r="K247">
            <v>0</v>
          </cell>
          <cell r="L247">
            <v>3120.2441810999999</v>
          </cell>
        </row>
        <row r="248">
          <cell r="A248">
            <v>19</v>
          </cell>
          <cell r="D248" t="str">
            <v>Cét bª t«ng ly t©m 10b</v>
          </cell>
          <cell r="K248">
            <v>0</v>
          </cell>
          <cell r="L248">
            <v>121161.8475</v>
          </cell>
        </row>
        <row r="249">
          <cell r="B249">
            <v>1</v>
          </cell>
          <cell r="C249" t="str">
            <v>PL§G</v>
          </cell>
          <cell r="D249" t="str">
            <v>Cét bª t«ng ly t©m 10c</v>
          </cell>
          <cell r="E249" t="str">
            <v>Cét</v>
          </cell>
          <cell r="F249">
            <v>1</v>
          </cell>
          <cell r="G249">
            <v>1.002</v>
          </cell>
          <cell r="H249">
            <v>1026000</v>
          </cell>
          <cell r="K249">
            <v>1026000</v>
          </cell>
          <cell r="L249">
            <v>0</v>
          </cell>
        </row>
        <row r="250">
          <cell r="B250">
            <v>2</v>
          </cell>
          <cell r="C250" t="str">
            <v xml:space="preserve">05.5212 </v>
          </cell>
          <cell r="D250" t="str">
            <v>Dùng cét bª t«ng 10m thñ c«ng</v>
          </cell>
          <cell r="E250" t="str">
            <v>Cét</v>
          </cell>
          <cell r="F250">
            <v>1</v>
          </cell>
          <cell r="H250">
            <v>8490</v>
          </cell>
          <cell r="I250">
            <v>80605</v>
          </cell>
          <cell r="K250">
            <v>8490</v>
          </cell>
          <cell r="L250">
            <v>80605</v>
          </cell>
        </row>
        <row r="251">
          <cell r="B251">
            <v>3</v>
          </cell>
          <cell r="C251" t="str">
            <v>02.1462</v>
          </cell>
          <cell r="D251" t="str">
            <v>V/c cét BTLT</v>
          </cell>
          <cell r="E251" t="str">
            <v>TÊn</v>
          </cell>
          <cell r="F251">
            <v>0.85</v>
          </cell>
          <cell r="I251">
            <v>35016.050000000003</v>
          </cell>
          <cell r="K251">
            <v>0</v>
          </cell>
          <cell r="L251">
            <v>29763.642500000002</v>
          </cell>
        </row>
        <row r="252">
          <cell r="B252">
            <v>4</v>
          </cell>
          <cell r="C252" t="str">
            <v>CTÝnh</v>
          </cell>
          <cell r="D252" t="str">
            <v>VËn chuyÓn dông cô thi c«ng</v>
          </cell>
          <cell r="E252" t="str">
            <v>TÊn</v>
          </cell>
          <cell r="F252">
            <v>0.45</v>
          </cell>
          <cell r="I252">
            <v>23984.9</v>
          </cell>
          <cell r="K252">
            <v>0</v>
          </cell>
          <cell r="L252">
            <v>10793.205000000002</v>
          </cell>
        </row>
        <row r="253">
          <cell r="A253">
            <v>20</v>
          </cell>
          <cell r="D253" t="str">
            <v>Cét bª t«ng ly t©m 10c</v>
          </cell>
          <cell r="K253">
            <v>0</v>
          </cell>
          <cell r="L253">
            <v>121161.8475</v>
          </cell>
        </row>
        <row r="254">
          <cell r="B254">
            <v>1</v>
          </cell>
          <cell r="C254" t="str">
            <v>PL§G</v>
          </cell>
          <cell r="D254" t="str">
            <v>Cét bª t«ng ly t©m 10b</v>
          </cell>
          <cell r="E254" t="str">
            <v>Cét</v>
          </cell>
          <cell r="F254">
            <v>1</v>
          </cell>
          <cell r="G254">
            <v>1.002</v>
          </cell>
          <cell r="H254">
            <v>1485000</v>
          </cell>
          <cell r="K254">
            <v>1485000</v>
          </cell>
          <cell r="L254">
            <v>0</v>
          </cell>
        </row>
        <row r="255">
          <cell r="B255">
            <v>2</v>
          </cell>
          <cell r="C255" t="str">
            <v xml:space="preserve">05.5212 </v>
          </cell>
          <cell r="D255" t="str">
            <v>Dùng cét bª t«ng 10m thñ c«ng</v>
          </cell>
          <cell r="E255" t="str">
            <v>Cét</v>
          </cell>
          <cell r="F255">
            <v>1</v>
          </cell>
          <cell r="H255">
            <v>8490</v>
          </cell>
          <cell r="I255">
            <v>80605</v>
          </cell>
          <cell r="K255">
            <v>8490</v>
          </cell>
          <cell r="L255">
            <v>80605</v>
          </cell>
        </row>
        <row r="256">
          <cell r="B256">
            <v>3</v>
          </cell>
          <cell r="C256" t="str">
            <v>02.1462</v>
          </cell>
          <cell r="D256" t="str">
            <v>V/c cét BTLT</v>
          </cell>
          <cell r="E256" t="str">
            <v>TÊn</v>
          </cell>
          <cell r="F256">
            <v>0.85</v>
          </cell>
          <cell r="I256">
            <v>35016.050000000003</v>
          </cell>
          <cell r="K256">
            <v>0</v>
          </cell>
          <cell r="L256">
            <v>29763.642500000002</v>
          </cell>
        </row>
        <row r="257">
          <cell r="B257">
            <v>4</v>
          </cell>
          <cell r="C257" t="str">
            <v>CTÝnh</v>
          </cell>
          <cell r="D257" t="str">
            <v>VËn chuyÓn dông cô thi c«ng</v>
          </cell>
          <cell r="E257" t="str">
            <v>TÊn</v>
          </cell>
          <cell r="F257">
            <v>0.45</v>
          </cell>
          <cell r="I257">
            <v>23984.9</v>
          </cell>
          <cell r="K257">
            <v>0</v>
          </cell>
          <cell r="L257">
            <v>10793.205000000002</v>
          </cell>
        </row>
        <row r="258">
          <cell r="A258">
            <v>21</v>
          </cell>
          <cell r="D258" t="str">
            <v>Cét bª t«ng ly t©m 12b</v>
          </cell>
          <cell r="K258">
            <v>1487442</v>
          </cell>
          <cell r="L258">
            <v>136803.10500000001</v>
          </cell>
        </row>
        <row r="259">
          <cell r="B259">
            <v>1</v>
          </cell>
          <cell r="C259" t="str">
            <v>H§¬n</v>
          </cell>
          <cell r="D259" t="str">
            <v>Cét bª t«ng ly t©m 12b</v>
          </cell>
          <cell r="E259" t="str">
            <v>Cét</v>
          </cell>
          <cell r="F259">
            <v>1</v>
          </cell>
          <cell r="G259">
            <v>1.002</v>
          </cell>
          <cell r="H259">
            <v>1476000</v>
          </cell>
          <cell r="K259">
            <v>1478952</v>
          </cell>
          <cell r="L259">
            <v>0</v>
          </cell>
        </row>
        <row r="260">
          <cell r="B260">
            <v>2</v>
          </cell>
          <cell r="C260" t="str">
            <v xml:space="preserve">05.5213 </v>
          </cell>
          <cell r="D260" t="str">
            <v>Dùng cét bª t«ng 12m thñ c«ng</v>
          </cell>
          <cell r="E260" t="str">
            <v>Cét</v>
          </cell>
          <cell r="F260">
            <v>1</v>
          </cell>
          <cell r="H260">
            <v>8490</v>
          </cell>
          <cell r="I260">
            <v>86293</v>
          </cell>
          <cell r="K260">
            <v>8490</v>
          </cell>
          <cell r="L260">
            <v>86293</v>
          </cell>
        </row>
        <row r="261">
          <cell r="B261">
            <v>3</v>
          </cell>
          <cell r="C261" t="str">
            <v>02.1462</v>
          </cell>
          <cell r="D261" t="str">
            <v>V/c cét BTLT</v>
          </cell>
          <cell r="E261" t="str">
            <v>TÊn</v>
          </cell>
          <cell r="F261">
            <v>1.1000000000000001</v>
          </cell>
          <cell r="I261">
            <v>35016.050000000003</v>
          </cell>
          <cell r="K261">
            <v>0</v>
          </cell>
          <cell r="L261">
            <v>38517.655000000006</v>
          </cell>
        </row>
        <row r="262">
          <cell r="B262">
            <v>4</v>
          </cell>
          <cell r="C262" t="str">
            <v>CTÝnh</v>
          </cell>
          <cell r="D262" t="str">
            <v>VËn chuyÓn dông cô thi c«ng</v>
          </cell>
          <cell r="E262" t="str">
            <v>TÊn</v>
          </cell>
          <cell r="F262">
            <v>0.5</v>
          </cell>
          <cell r="I262">
            <v>23984.9</v>
          </cell>
          <cell r="K262">
            <v>0</v>
          </cell>
          <cell r="L262">
            <v>11992.45</v>
          </cell>
        </row>
        <row r="263">
          <cell r="A263">
            <v>22</v>
          </cell>
          <cell r="D263" t="str">
            <v>Cét bª t«ng ly t©m 12c</v>
          </cell>
          <cell r="K263">
            <v>2308080</v>
          </cell>
          <cell r="L263">
            <v>136803.10500000001</v>
          </cell>
        </row>
        <row r="264">
          <cell r="B264">
            <v>1</v>
          </cell>
          <cell r="C264" t="str">
            <v>PL§G</v>
          </cell>
          <cell r="D264" t="str">
            <v>Cét bª t«ng ly t©m 12c</v>
          </cell>
          <cell r="E264" t="str">
            <v>Cét</v>
          </cell>
          <cell r="F264">
            <v>1</v>
          </cell>
          <cell r="G264">
            <v>1.002</v>
          </cell>
          <cell r="H264">
            <v>2295000</v>
          </cell>
          <cell r="K264">
            <v>2299590</v>
          </cell>
          <cell r="L264">
            <v>0</v>
          </cell>
        </row>
        <row r="265">
          <cell r="B265">
            <v>2</v>
          </cell>
          <cell r="C265" t="str">
            <v xml:space="preserve">05.5213 </v>
          </cell>
          <cell r="D265" t="str">
            <v>Dùng cét bª t«ng 12m thñ c«ng</v>
          </cell>
          <cell r="E265" t="str">
            <v>Cét</v>
          </cell>
          <cell r="F265">
            <v>1</v>
          </cell>
          <cell r="H265">
            <v>8490</v>
          </cell>
          <cell r="I265">
            <v>86293</v>
          </cell>
          <cell r="K265">
            <v>8490</v>
          </cell>
          <cell r="L265">
            <v>86293</v>
          </cell>
        </row>
        <row r="266">
          <cell r="B266">
            <v>3</v>
          </cell>
          <cell r="C266" t="str">
            <v>02.1462</v>
          </cell>
          <cell r="D266" t="str">
            <v>V/c cét BTLT</v>
          </cell>
          <cell r="E266" t="str">
            <v>TÊn</v>
          </cell>
          <cell r="F266">
            <v>1.1000000000000001</v>
          </cell>
          <cell r="I266">
            <v>35016.050000000003</v>
          </cell>
          <cell r="K266">
            <v>0</v>
          </cell>
          <cell r="L266">
            <v>38517.655000000006</v>
          </cell>
        </row>
        <row r="267">
          <cell r="B267">
            <v>4</v>
          </cell>
          <cell r="C267" t="str">
            <v>CTÝnh</v>
          </cell>
          <cell r="D267" t="str">
            <v>VËn chuyÓn dông cô thi c«ng</v>
          </cell>
          <cell r="E267" t="str">
            <v>TÊn</v>
          </cell>
          <cell r="F267">
            <v>0.5</v>
          </cell>
          <cell r="I267">
            <v>23984.9</v>
          </cell>
          <cell r="K267">
            <v>0</v>
          </cell>
          <cell r="L267">
            <v>11992.45</v>
          </cell>
        </row>
        <row r="268">
          <cell r="A268">
            <v>23</v>
          </cell>
          <cell r="D268" t="str">
            <v>Cét bª t«ng ly t©m 14b</v>
          </cell>
          <cell r="K268">
            <v>3738331</v>
          </cell>
          <cell r="L268">
            <v>215541.16565000001</v>
          </cell>
        </row>
        <row r="269">
          <cell r="B269">
            <v>1</v>
          </cell>
          <cell r="C269" t="str">
            <v>PL§G</v>
          </cell>
          <cell r="D269" t="str">
            <v>Cét bª t«ng ly t©m 14b</v>
          </cell>
          <cell r="E269" t="str">
            <v>Cét</v>
          </cell>
          <cell r="F269">
            <v>1</v>
          </cell>
          <cell r="G269">
            <v>1.002</v>
          </cell>
          <cell r="H269">
            <v>3717000</v>
          </cell>
          <cell r="K269">
            <v>3724434</v>
          </cell>
          <cell r="L269">
            <v>0</v>
          </cell>
        </row>
        <row r="270">
          <cell r="B270">
            <v>2</v>
          </cell>
          <cell r="C270" t="str">
            <v>05.5101</v>
          </cell>
          <cell r="D270" t="str">
            <v>L¾p mÆt bÝch</v>
          </cell>
          <cell r="E270" t="str">
            <v>Cét</v>
          </cell>
          <cell r="F270">
            <v>1</v>
          </cell>
          <cell r="H270">
            <v>5407</v>
          </cell>
          <cell r="I270">
            <v>48753</v>
          </cell>
          <cell r="K270">
            <v>5407</v>
          </cell>
          <cell r="L270">
            <v>48753</v>
          </cell>
        </row>
        <row r="271">
          <cell r="B271">
            <v>3</v>
          </cell>
          <cell r="C271" t="str">
            <v xml:space="preserve">05.5215 </v>
          </cell>
          <cell r="D271" t="str">
            <v>Dùng cét bª t«ng 14m thñ c«ng</v>
          </cell>
          <cell r="E271" t="str">
            <v>Cét</v>
          </cell>
          <cell r="F271">
            <v>1</v>
          </cell>
          <cell r="H271">
            <v>8490</v>
          </cell>
          <cell r="I271">
            <v>107419</v>
          </cell>
          <cell r="K271">
            <v>8490</v>
          </cell>
          <cell r="L271">
            <v>107419</v>
          </cell>
        </row>
        <row r="272">
          <cell r="B272">
            <v>4</v>
          </cell>
          <cell r="C272" t="str">
            <v>02.1462</v>
          </cell>
          <cell r="D272" t="str">
            <v>V/c cét BTLT</v>
          </cell>
          <cell r="E272" t="str">
            <v>TÊn</v>
          </cell>
          <cell r="F272">
            <v>1.353</v>
          </cell>
          <cell r="I272">
            <v>35016.050000000003</v>
          </cell>
          <cell r="K272">
            <v>0</v>
          </cell>
          <cell r="L272">
            <v>47376.715650000006</v>
          </cell>
        </row>
        <row r="273">
          <cell r="B273">
            <v>5</v>
          </cell>
          <cell r="C273" t="str">
            <v>CTÝnh</v>
          </cell>
          <cell r="D273" t="str">
            <v>VËn chuyÓn dông cô thi c«ng</v>
          </cell>
          <cell r="E273" t="str">
            <v>TÊn</v>
          </cell>
          <cell r="F273">
            <v>0.5</v>
          </cell>
          <cell r="I273">
            <v>23984.9</v>
          </cell>
          <cell r="K273">
            <v>0</v>
          </cell>
          <cell r="L273">
            <v>11992.45</v>
          </cell>
        </row>
        <row r="274">
          <cell r="A274">
            <v>24</v>
          </cell>
          <cell r="D274" t="str">
            <v>Cét bª t«ng ly t©m 14c</v>
          </cell>
          <cell r="K274">
            <v>3972799</v>
          </cell>
          <cell r="L274">
            <v>215541.16565000001</v>
          </cell>
        </row>
        <row r="275">
          <cell r="B275">
            <v>1</v>
          </cell>
          <cell r="C275" t="str">
            <v>PL§G</v>
          </cell>
          <cell r="D275" t="str">
            <v>Cét bª t«ng ly t©m 14c</v>
          </cell>
          <cell r="E275" t="str">
            <v>Cét</v>
          </cell>
          <cell r="F275">
            <v>1</v>
          </cell>
          <cell r="G275">
            <v>1.002</v>
          </cell>
          <cell r="H275">
            <v>3951000</v>
          </cell>
          <cell r="K275">
            <v>3958902</v>
          </cell>
          <cell r="L275">
            <v>0</v>
          </cell>
        </row>
        <row r="276">
          <cell r="B276">
            <v>2</v>
          </cell>
          <cell r="C276" t="str">
            <v>05.5101</v>
          </cell>
          <cell r="D276" t="str">
            <v>L¾p mÆt bÝch</v>
          </cell>
          <cell r="E276" t="str">
            <v>Cét</v>
          </cell>
          <cell r="F276">
            <v>1</v>
          </cell>
          <cell r="H276">
            <v>5407</v>
          </cell>
          <cell r="I276">
            <v>48753</v>
          </cell>
          <cell r="K276">
            <v>5407</v>
          </cell>
          <cell r="L276">
            <v>48753</v>
          </cell>
        </row>
        <row r="277">
          <cell r="B277">
            <v>3</v>
          </cell>
          <cell r="C277" t="str">
            <v xml:space="preserve">05.5215 </v>
          </cell>
          <cell r="D277" t="str">
            <v>Dùng cét bª t«ng 14m thñ c«ng</v>
          </cell>
          <cell r="E277" t="str">
            <v>Cét</v>
          </cell>
          <cell r="F277">
            <v>1</v>
          </cell>
          <cell r="H277">
            <v>8490</v>
          </cell>
          <cell r="I277">
            <v>107419</v>
          </cell>
          <cell r="K277">
            <v>8490</v>
          </cell>
          <cell r="L277">
            <v>107419</v>
          </cell>
        </row>
        <row r="278">
          <cell r="B278">
            <v>4</v>
          </cell>
          <cell r="C278" t="str">
            <v>02.1462</v>
          </cell>
          <cell r="D278" t="str">
            <v>V/c cét BTLT</v>
          </cell>
          <cell r="E278" t="str">
            <v>TÊn</v>
          </cell>
          <cell r="F278">
            <v>1.353</v>
          </cell>
          <cell r="I278">
            <v>35016.050000000003</v>
          </cell>
          <cell r="K278">
            <v>0</v>
          </cell>
          <cell r="L278">
            <v>47376.715650000006</v>
          </cell>
        </row>
        <row r="279">
          <cell r="B279">
            <v>5</v>
          </cell>
          <cell r="C279" t="str">
            <v>CTÝnh</v>
          </cell>
          <cell r="D279" t="str">
            <v>VËn chuyÓn dông cô thi c«ng</v>
          </cell>
          <cell r="E279" t="str">
            <v>TÊn</v>
          </cell>
          <cell r="F279">
            <v>0.5</v>
          </cell>
          <cell r="I279">
            <v>23984.9</v>
          </cell>
          <cell r="K279">
            <v>0</v>
          </cell>
          <cell r="L279">
            <v>11992.45</v>
          </cell>
        </row>
        <row r="280">
          <cell r="A280">
            <v>25</v>
          </cell>
          <cell r="D280" t="str">
            <v>Cét bª t«ng ly t©m 16b</v>
          </cell>
          <cell r="K280">
            <v>4028271</v>
          </cell>
          <cell r="L280">
            <v>237817.05600000001</v>
          </cell>
        </row>
        <row r="281">
          <cell r="B281">
            <v>1</v>
          </cell>
          <cell r="C281" t="str">
            <v>PL§G</v>
          </cell>
          <cell r="D281" t="str">
            <v>Cét bª t«ng ly t©m 16b</v>
          </cell>
          <cell r="E281" t="str">
            <v>Cét</v>
          </cell>
          <cell r="F281">
            <v>1</v>
          </cell>
          <cell r="G281">
            <v>1.002</v>
          </cell>
          <cell r="H281">
            <v>4005000</v>
          </cell>
          <cell r="K281">
            <v>4013010</v>
          </cell>
          <cell r="L281">
            <v>0</v>
          </cell>
        </row>
        <row r="282">
          <cell r="B282">
            <v>2</v>
          </cell>
          <cell r="C282" t="str">
            <v>05.5101</v>
          </cell>
          <cell r="D282" t="str">
            <v>L¾p mÆt bÝch</v>
          </cell>
          <cell r="E282" t="str">
            <v>Cét</v>
          </cell>
          <cell r="F282">
            <v>1</v>
          </cell>
          <cell r="H282">
            <v>5407</v>
          </cell>
          <cell r="I282">
            <v>48753</v>
          </cell>
          <cell r="K282">
            <v>5407</v>
          </cell>
          <cell r="L282">
            <v>48753</v>
          </cell>
        </row>
        <row r="283">
          <cell r="B283">
            <v>3</v>
          </cell>
          <cell r="C283" t="str">
            <v xml:space="preserve">05.5215 </v>
          </cell>
          <cell r="D283" t="str">
            <v>Dùng cét bª t«ng 16m thñ c«ng</v>
          </cell>
          <cell r="E283" t="str">
            <v>Cét</v>
          </cell>
          <cell r="F283">
            <v>1</v>
          </cell>
          <cell r="H283">
            <v>9854</v>
          </cell>
          <cell r="I283">
            <v>116844</v>
          </cell>
          <cell r="K283">
            <v>9854</v>
          </cell>
          <cell r="L283">
            <v>116844</v>
          </cell>
        </row>
        <row r="284">
          <cell r="B284">
            <v>4</v>
          </cell>
          <cell r="C284" t="str">
            <v>02.1462</v>
          </cell>
          <cell r="D284" t="str">
            <v>V/c cét BTLT</v>
          </cell>
          <cell r="E284" t="str">
            <v>TÊn</v>
          </cell>
          <cell r="F284">
            <v>1.72</v>
          </cell>
          <cell r="I284">
            <v>35016.050000000003</v>
          </cell>
          <cell r="K284">
            <v>0</v>
          </cell>
          <cell r="L284">
            <v>60227.606000000007</v>
          </cell>
        </row>
        <row r="285">
          <cell r="B285">
            <v>5</v>
          </cell>
          <cell r="C285" t="str">
            <v>CTÝnh</v>
          </cell>
          <cell r="D285" t="str">
            <v>VËn chuyÓn dông cô thi c«ng</v>
          </cell>
          <cell r="E285" t="str">
            <v>TÊn</v>
          </cell>
          <cell r="F285">
            <v>0.5</v>
          </cell>
          <cell r="I285">
            <v>23984.9</v>
          </cell>
          <cell r="K285">
            <v>0</v>
          </cell>
          <cell r="L285">
            <v>11992.45</v>
          </cell>
        </row>
        <row r="286">
          <cell r="A286">
            <v>26</v>
          </cell>
          <cell r="D286" t="str">
            <v>Cét bª t«ng ly t©m 16c</v>
          </cell>
          <cell r="K286">
            <v>4199613</v>
          </cell>
          <cell r="L286">
            <v>237817.05600000001</v>
          </cell>
        </row>
        <row r="287">
          <cell r="B287">
            <v>1</v>
          </cell>
          <cell r="C287" t="str">
            <v>PL§G</v>
          </cell>
          <cell r="D287" t="str">
            <v>Cét bª t«ng ly t©m 16c</v>
          </cell>
          <cell r="E287" t="str">
            <v>Cét</v>
          </cell>
          <cell r="F287">
            <v>1</v>
          </cell>
          <cell r="G287">
            <v>1.002</v>
          </cell>
          <cell r="H287">
            <v>4176000</v>
          </cell>
          <cell r="K287">
            <v>4184352</v>
          </cell>
          <cell r="L287">
            <v>0</v>
          </cell>
        </row>
        <row r="288">
          <cell r="B288">
            <v>2</v>
          </cell>
          <cell r="C288" t="str">
            <v>05.5101</v>
          </cell>
          <cell r="D288" t="str">
            <v>L¾p mÆt bÝch</v>
          </cell>
          <cell r="E288" t="str">
            <v>Cét</v>
          </cell>
          <cell r="F288">
            <v>1</v>
          </cell>
          <cell r="H288">
            <v>5407</v>
          </cell>
          <cell r="I288">
            <v>48753</v>
          </cell>
          <cell r="K288">
            <v>5407</v>
          </cell>
          <cell r="L288">
            <v>48753</v>
          </cell>
        </row>
        <row r="289">
          <cell r="B289">
            <v>3</v>
          </cell>
          <cell r="C289" t="str">
            <v xml:space="preserve">05.5215 </v>
          </cell>
          <cell r="D289" t="str">
            <v>Dùng cét bª t«ng 16m thñ c«ng</v>
          </cell>
          <cell r="E289" t="str">
            <v>Cét</v>
          </cell>
          <cell r="F289">
            <v>1</v>
          </cell>
          <cell r="H289">
            <v>9854</v>
          </cell>
          <cell r="I289">
            <v>116844</v>
          </cell>
          <cell r="K289">
            <v>9854</v>
          </cell>
          <cell r="L289">
            <v>116844</v>
          </cell>
        </row>
        <row r="290">
          <cell r="B290">
            <v>4</v>
          </cell>
          <cell r="C290" t="str">
            <v>02.1462</v>
          </cell>
          <cell r="D290" t="str">
            <v>V/c cét BTLT</v>
          </cell>
          <cell r="E290" t="str">
            <v>TÊn</v>
          </cell>
          <cell r="F290">
            <v>1.72</v>
          </cell>
          <cell r="I290">
            <v>35016.050000000003</v>
          </cell>
          <cell r="K290">
            <v>0</v>
          </cell>
          <cell r="L290">
            <v>60227.606000000007</v>
          </cell>
        </row>
        <row r="291">
          <cell r="B291">
            <v>5</v>
          </cell>
          <cell r="C291" t="str">
            <v>CTÝnh</v>
          </cell>
          <cell r="D291" t="str">
            <v>VËn chuyÓn dông cô thi c«ng</v>
          </cell>
          <cell r="E291" t="str">
            <v>TÊn</v>
          </cell>
          <cell r="F291">
            <v>0.5</v>
          </cell>
          <cell r="I291">
            <v>23984.9</v>
          </cell>
          <cell r="K291">
            <v>0</v>
          </cell>
          <cell r="L291">
            <v>11992.45</v>
          </cell>
        </row>
        <row r="292">
          <cell r="A292">
            <v>27</v>
          </cell>
          <cell r="D292" t="str">
            <v>Cét bª t«ng ly t©m 18b</v>
          </cell>
          <cell r="K292">
            <v>4388991</v>
          </cell>
          <cell r="L292">
            <v>300556.57500000001</v>
          </cell>
        </row>
        <row r="293">
          <cell r="B293">
            <v>1</v>
          </cell>
          <cell r="C293" t="str">
            <v>PL§G</v>
          </cell>
          <cell r="D293" t="str">
            <v>Cét bª t«ng ly t©m 18b</v>
          </cell>
          <cell r="E293" t="str">
            <v>Cét</v>
          </cell>
          <cell r="F293">
            <v>1</v>
          </cell>
          <cell r="G293">
            <v>1.002</v>
          </cell>
          <cell r="H293">
            <v>4365000</v>
          </cell>
          <cell r="K293">
            <v>4373730</v>
          </cell>
          <cell r="L293">
            <v>0</v>
          </cell>
        </row>
        <row r="294">
          <cell r="B294">
            <v>2</v>
          </cell>
          <cell r="C294" t="str">
            <v>05.5101</v>
          </cell>
          <cell r="D294" t="str">
            <v>L¾p mÆt bÝch</v>
          </cell>
          <cell r="E294" t="str">
            <v>Cét</v>
          </cell>
          <cell r="F294">
            <v>1</v>
          </cell>
          <cell r="H294">
            <v>5407</v>
          </cell>
          <cell r="I294">
            <v>48753</v>
          </cell>
          <cell r="K294">
            <v>5407</v>
          </cell>
          <cell r="L294">
            <v>48753</v>
          </cell>
        </row>
        <row r="295">
          <cell r="B295">
            <v>3</v>
          </cell>
          <cell r="C295" t="str">
            <v xml:space="preserve">05.5216 </v>
          </cell>
          <cell r="D295" t="str">
            <v>Dùng cét bª t«ng 18m thñ c«ng</v>
          </cell>
          <cell r="E295" t="str">
            <v>Cét</v>
          </cell>
          <cell r="F295">
            <v>1</v>
          </cell>
          <cell r="H295">
            <v>9854</v>
          </cell>
          <cell r="I295">
            <v>152271</v>
          </cell>
          <cell r="K295">
            <v>9854</v>
          </cell>
          <cell r="L295">
            <v>152271</v>
          </cell>
        </row>
        <row r="296">
          <cell r="B296">
            <v>4</v>
          </cell>
          <cell r="C296" t="str">
            <v>02.1462</v>
          </cell>
          <cell r="D296" t="str">
            <v>V/c cét BTLT</v>
          </cell>
          <cell r="E296" t="str">
            <v>TÊn</v>
          </cell>
          <cell r="F296">
            <v>2.5</v>
          </cell>
          <cell r="I296">
            <v>35016.050000000003</v>
          </cell>
          <cell r="L296">
            <v>87540.125</v>
          </cell>
        </row>
        <row r="297">
          <cell r="B297">
            <v>5</v>
          </cell>
          <cell r="C297" t="str">
            <v>CTÝnh</v>
          </cell>
          <cell r="D297" t="str">
            <v>VËn chuyÓn dông cô thi c«ng</v>
          </cell>
          <cell r="E297" t="str">
            <v>TÊn</v>
          </cell>
          <cell r="F297">
            <v>0.5</v>
          </cell>
          <cell r="I297">
            <v>23984.9</v>
          </cell>
          <cell r="L297">
            <v>11992.45</v>
          </cell>
        </row>
        <row r="298">
          <cell r="A298">
            <v>28</v>
          </cell>
          <cell r="D298" t="str">
            <v>Cét bª t«ng ly t©m 18c</v>
          </cell>
          <cell r="K298">
            <v>4713639</v>
          </cell>
          <cell r="L298">
            <v>300502.57500000001</v>
          </cell>
        </row>
        <row r="299">
          <cell r="B299">
            <v>1</v>
          </cell>
          <cell r="C299" t="str">
            <v>PL§G</v>
          </cell>
          <cell r="D299" t="str">
            <v>Cét bª t«ng ly t©m 18c</v>
          </cell>
          <cell r="E299" t="str">
            <v>Cét</v>
          </cell>
          <cell r="F299">
            <v>1</v>
          </cell>
          <cell r="G299">
            <v>1.002</v>
          </cell>
          <cell r="H299">
            <v>4689000</v>
          </cell>
          <cell r="K299">
            <v>4698378</v>
          </cell>
          <cell r="L299">
            <v>0</v>
          </cell>
        </row>
        <row r="300">
          <cell r="B300">
            <v>2</v>
          </cell>
          <cell r="C300" t="str">
            <v>05.5101</v>
          </cell>
          <cell r="D300" t="str">
            <v>L¾p mÆt bÝch</v>
          </cell>
          <cell r="E300" t="str">
            <v>Cét</v>
          </cell>
          <cell r="F300">
            <v>1</v>
          </cell>
          <cell r="H300">
            <v>5407</v>
          </cell>
          <cell r="I300">
            <v>48753</v>
          </cell>
          <cell r="K300">
            <v>5407</v>
          </cell>
          <cell r="L300">
            <v>48753</v>
          </cell>
        </row>
        <row r="301">
          <cell r="B301">
            <v>3</v>
          </cell>
          <cell r="C301" t="str">
            <v xml:space="preserve">05.5216 </v>
          </cell>
          <cell r="D301" t="str">
            <v>Dùng cét bª t«ng 18m thñ c«ng</v>
          </cell>
          <cell r="E301" t="str">
            <v>Cét</v>
          </cell>
          <cell r="F301">
            <v>1</v>
          </cell>
          <cell r="H301">
            <v>9854</v>
          </cell>
          <cell r="I301">
            <v>152217</v>
          </cell>
          <cell r="K301">
            <v>9854</v>
          </cell>
          <cell r="L301">
            <v>152217</v>
          </cell>
        </row>
        <row r="302">
          <cell r="B302">
            <v>4</v>
          </cell>
          <cell r="C302" t="str">
            <v>02.1462</v>
          </cell>
          <cell r="D302" t="str">
            <v>V/c cét BTLT</v>
          </cell>
          <cell r="E302" t="str">
            <v>TÊn</v>
          </cell>
          <cell r="F302">
            <v>2.5</v>
          </cell>
          <cell r="I302">
            <v>35016.050000000003</v>
          </cell>
          <cell r="K302">
            <v>0</v>
          </cell>
          <cell r="L302">
            <v>87540.125</v>
          </cell>
        </row>
        <row r="303">
          <cell r="B303">
            <v>5</v>
          </cell>
          <cell r="C303" t="str">
            <v>CTÝnh</v>
          </cell>
          <cell r="D303" t="str">
            <v>VËn chuyÓn dông cô thi c«ng</v>
          </cell>
          <cell r="E303" t="str">
            <v>TÊn</v>
          </cell>
          <cell r="F303">
            <v>0.5</v>
          </cell>
          <cell r="I303">
            <v>23984.9</v>
          </cell>
          <cell r="K303">
            <v>0</v>
          </cell>
          <cell r="L303">
            <v>11992.45</v>
          </cell>
        </row>
        <row r="304">
          <cell r="A304">
            <v>29</v>
          </cell>
          <cell r="D304" t="str">
            <v>Xµ ®ì lÌo X§L</v>
          </cell>
          <cell r="K304">
            <v>126585</v>
          </cell>
          <cell r="L304">
            <v>20104.2381155</v>
          </cell>
        </row>
        <row r="305">
          <cell r="B305">
            <v>1</v>
          </cell>
          <cell r="C305" t="str">
            <v>PL§G</v>
          </cell>
          <cell r="D305" t="str">
            <v>ThÐp lµm xµ</v>
          </cell>
          <cell r="E305" t="str">
            <v>kg</v>
          </cell>
          <cell r="F305">
            <v>13.05</v>
          </cell>
          <cell r="H305">
            <v>9700</v>
          </cell>
          <cell r="K305">
            <v>126585</v>
          </cell>
        </row>
        <row r="306">
          <cell r="B306">
            <v>2</v>
          </cell>
          <cell r="C306" t="str">
            <v>02.1352</v>
          </cell>
          <cell r="D306" t="str">
            <v>VËn chuyÓn thÐp</v>
          </cell>
          <cell r="E306" t="str">
            <v>TÊn</v>
          </cell>
          <cell r="F306">
            <v>1.3050000000000001E-2</v>
          </cell>
          <cell r="I306">
            <v>27757.71</v>
          </cell>
          <cell r="K306">
            <v>0</v>
          </cell>
          <cell r="L306">
            <v>362.23811549999999</v>
          </cell>
        </row>
        <row r="307">
          <cell r="B307">
            <v>3</v>
          </cell>
          <cell r="C307" t="str">
            <v>05.6011 x 1,5</v>
          </cell>
          <cell r="D307" t="str">
            <v xml:space="preserve">L¾p xµ </v>
          </cell>
          <cell r="E307" t="str">
            <v>bé</v>
          </cell>
          <cell r="F307">
            <v>1</v>
          </cell>
          <cell r="I307">
            <v>19742</v>
          </cell>
          <cell r="K307">
            <v>0</v>
          </cell>
          <cell r="L307">
            <v>19742</v>
          </cell>
        </row>
        <row r="308">
          <cell r="A308">
            <v>30</v>
          </cell>
          <cell r="D308" t="str">
            <v>Xµ ®ì v­ît X§V -10</v>
          </cell>
          <cell r="K308">
            <v>798989</v>
          </cell>
          <cell r="L308">
            <v>38284.902572699997</v>
          </cell>
        </row>
        <row r="309">
          <cell r="B309">
            <v>1</v>
          </cell>
          <cell r="C309" t="str">
            <v>§G67</v>
          </cell>
          <cell r="D309" t="str">
            <v>ThÐp lµm xµ</v>
          </cell>
          <cell r="E309" t="str">
            <v>kg</v>
          </cell>
          <cell r="F309">
            <v>82.37</v>
          </cell>
          <cell r="H309">
            <v>9700</v>
          </cell>
          <cell r="K309">
            <v>798989</v>
          </cell>
        </row>
        <row r="310">
          <cell r="B310">
            <v>2</v>
          </cell>
          <cell r="C310" t="str">
            <v>02.1352</v>
          </cell>
          <cell r="D310" t="str">
            <v>VËn chuyÓn thÐp</v>
          </cell>
          <cell r="E310" t="str">
            <v>TÊn</v>
          </cell>
          <cell r="F310">
            <v>8.2369999999999999E-2</v>
          </cell>
          <cell r="I310">
            <v>27757.71</v>
          </cell>
          <cell r="K310">
            <v>0</v>
          </cell>
          <cell r="L310">
            <v>2286.4025726999998</v>
          </cell>
        </row>
        <row r="311">
          <cell r="B311">
            <v>3</v>
          </cell>
          <cell r="C311" t="str">
            <v>05.6031 x 1,5</v>
          </cell>
          <cell r="D311" t="str">
            <v xml:space="preserve">L¾p xµ ®ì </v>
          </cell>
          <cell r="E311" t="str">
            <v>bé</v>
          </cell>
          <cell r="F311">
            <v>1</v>
          </cell>
          <cell r="I311">
            <v>35998.5</v>
          </cell>
          <cell r="K311">
            <v>0</v>
          </cell>
          <cell r="L311">
            <v>35998.5</v>
          </cell>
        </row>
        <row r="312">
          <cell r="A312">
            <v>31</v>
          </cell>
          <cell r="D312" t="str">
            <v>Xµ ®ì th¼ng X§22 -1L</v>
          </cell>
          <cell r="K312">
            <v>242500</v>
          </cell>
          <cell r="L312">
            <v>20435.942749999998</v>
          </cell>
        </row>
        <row r="313">
          <cell r="B313">
            <v>1</v>
          </cell>
          <cell r="C313" t="str">
            <v>PL§G</v>
          </cell>
          <cell r="D313" t="str">
            <v>ThÐp lµm xµ</v>
          </cell>
          <cell r="E313" t="str">
            <v>kg</v>
          </cell>
          <cell r="F313">
            <v>25</v>
          </cell>
          <cell r="H313">
            <v>9700</v>
          </cell>
          <cell r="K313">
            <v>242500</v>
          </cell>
        </row>
        <row r="314">
          <cell r="B314">
            <v>2</v>
          </cell>
          <cell r="C314" t="str">
            <v>02.1352</v>
          </cell>
          <cell r="D314" t="str">
            <v>VËn chuyÓn thÐp</v>
          </cell>
          <cell r="E314" t="str">
            <v>TÊn</v>
          </cell>
          <cell r="F314">
            <v>2.5000000000000001E-2</v>
          </cell>
          <cell r="I314">
            <v>27757.71</v>
          </cell>
          <cell r="K314">
            <v>0</v>
          </cell>
          <cell r="L314">
            <v>693.94275000000005</v>
          </cell>
        </row>
        <row r="315">
          <cell r="B315">
            <v>3</v>
          </cell>
          <cell r="C315" t="str">
            <v>05.6011 x 1,5</v>
          </cell>
          <cell r="D315" t="str">
            <v xml:space="preserve">L¾p xµ ®ì </v>
          </cell>
          <cell r="E315" t="str">
            <v>bé</v>
          </cell>
          <cell r="F315">
            <v>1</v>
          </cell>
          <cell r="I315">
            <v>19742</v>
          </cell>
          <cell r="K315">
            <v>0</v>
          </cell>
          <cell r="L315">
            <v>19742</v>
          </cell>
        </row>
        <row r="316">
          <cell r="A316">
            <v>32</v>
          </cell>
          <cell r="D316" t="str">
            <v>Xµ ®ì phô X§P - 35</v>
          </cell>
          <cell r="K316">
            <v>239784</v>
          </cell>
          <cell r="L316">
            <v>20428.1705912</v>
          </cell>
        </row>
        <row r="317">
          <cell r="B317">
            <v>1</v>
          </cell>
          <cell r="C317" t="str">
            <v>PL§G</v>
          </cell>
          <cell r="D317" t="str">
            <v>ThÐp lµm xµ</v>
          </cell>
          <cell r="E317" t="str">
            <v>kg</v>
          </cell>
          <cell r="F317">
            <v>24.72</v>
          </cell>
          <cell r="H317">
            <v>9700</v>
          </cell>
          <cell r="K317">
            <v>239784</v>
          </cell>
        </row>
        <row r="318">
          <cell r="B318">
            <v>2</v>
          </cell>
          <cell r="C318" t="str">
            <v>02.1352</v>
          </cell>
          <cell r="D318" t="str">
            <v>VËn chuyÓn thÐp</v>
          </cell>
          <cell r="E318" t="str">
            <v>TÊn</v>
          </cell>
          <cell r="F318">
            <v>2.4719999999999999E-2</v>
          </cell>
          <cell r="I318">
            <v>27757.71</v>
          </cell>
          <cell r="L318">
            <v>686.17059119999999</v>
          </cell>
        </row>
        <row r="319">
          <cell r="B319">
            <v>3</v>
          </cell>
          <cell r="C319" t="str">
            <v>05.6011 x 1,5</v>
          </cell>
          <cell r="D319" t="str">
            <v xml:space="preserve">L¾p xµ ®ì </v>
          </cell>
          <cell r="E319" t="str">
            <v>bé</v>
          </cell>
          <cell r="F319">
            <v>1</v>
          </cell>
          <cell r="I319">
            <v>19742</v>
          </cell>
          <cell r="L319">
            <v>19742</v>
          </cell>
        </row>
        <row r="320">
          <cell r="A320">
            <v>33</v>
          </cell>
          <cell r="D320" t="str">
            <v>Xµ nÐo XN35</v>
          </cell>
          <cell r="K320">
            <v>1503500</v>
          </cell>
          <cell r="L320">
            <v>83499.445049999995</v>
          </cell>
        </row>
        <row r="321">
          <cell r="B321">
            <v>1</v>
          </cell>
          <cell r="C321" t="str">
            <v>PL§G</v>
          </cell>
          <cell r="D321" t="str">
            <v>ThÐp lµm xµ</v>
          </cell>
          <cell r="E321" t="str">
            <v>kg</v>
          </cell>
          <cell r="F321">
            <v>155</v>
          </cell>
          <cell r="H321">
            <v>9700</v>
          </cell>
          <cell r="K321">
            <v>1503500</v>
          </cell>
        </row>
        <row r="322">
          <cell r="B322">
            <v>2</v>
          </cell>
          <cell r="C322" t="str">
            <v>02.1352</v>
          </cell>
          <cell r="D322" t="str">
            <v>VËn chuyÓn thÐp</v>
          </cell>
          <cell r="E322" t="str">
            <v>TÊn</v>
          </cell>
          <cell r="F322">
            <v>0.155</v>
          </cell>
          <cell r="I322">
            <v>27757.71</v>
          </cell>
          <cell r="L322">
            <v>4302.4450500000003</v>
          </cell>
        </row>
        <row r="323">
          <cell r="B323">
            <v>3</v>
          </cell>
          <cell r="C323" t="str">
            <v>05.6052 x 1,5</v>
          </cell>
          <cell r="D323" t="str">
            <v>L¾p xµ nÐo</v>
          </cell>
          <cell r="E323" t="str">
            <v>bé</v>
          </cell>
          <cell r="F323">
            <v>1</v>
          </cell>
          <cell r="I323">
            <v>79197</v>
          </cell>
          <cell r="L323">
            <v>79197</v>
          </cell>
        </row>
        <row r="324">
          <cell r="A324">
            <v>34</v>
          </cell>
          <cell r="D324" t="str">
            <v>Xµ nÐo ®¬n XN -10</v>
          </cell>
          <cell r="K324">
            <v>830126</v>
          </cell>
          <cell r="L324">
            <v>50219.504821800001</v>
          </cell>
        </row>
        <row r="325">
          <cell r="B325">
            <v>1</v>
          </cell>
          <cell r="C325" t="str">
            <v>§G67</v>
          </cell>
          <cell r="D325" t="str">
            <v>ThÐp lµm xµ</v>
          </cell>
          <cell r="E325" t="str">
            <v>kg</v>
          </cell>
          <cell r="F325">
            <v>85.58</v>
          </cell>
          <cell r="H325">
            <v>9700</v>
          </cell>
          <cell r="K325">
            <v>830126</v>
          </cell>
        </row>
        <row r="326">
          <cell r="B326">
            <v>2</v>
          </cell>
          <cell r="C326" t="str">
            <v>02.1352</v>
          </cell>
          <cell r="D326" t="str">
            <v>VËn chuyÓn thÐp</v>
          </cell>
          <cell r="E326" t="str">
            <v>TÊn</v>
          </cell>
          <cell r="F326">
            <v>8.5580000000000003E-2</v>
          </cell>
          <cell r="I326">
            <v>27757.71</v>
          </cell>
          <cell r="L326">
            <v>2375.5048218000002</v>
          </cell>
        </row>
        <row r="327">
          <cell r="B327">
            <v>3</v>
          </cell>
          <cell r="C327" t="str">
            <v>05.6032 x 1,5</v>
          </cell>
          <cell r="D327" t="str">
            <v xml:space="preserve">L¾p xµ </v>
          </cell>
          <cell r="E327" t="str">
            <v>bé</v>
          </cell>
          <cell r="F327">
            <v>1</v>
          </cell>
          <cell r="I327">
            <v>47844</v>
          </cell>
          <cell r="L327">
            <v>47844</v>
          </cell>
        </row>
        <row r="328">
          <cell r="A328">
            <v>35</v>
          </cell>
          <cell r="D328" t="str">
            <v>Xµ nÐo trªn cét ®¬n XN2A - 1L</v>
          </cell>
          <cell r="K328">
            <v>755630</v>
          </cell>
          <cell r="L328">
            <v>50006.325609</v>
          </cell>
        </row>
        <row r="329">
          <cell r="B329">
            <v>1</v>
          </cell>
          <cell r="C329" t="str">
            <v>PL§G</v>
          </cell>
          <cell r="D329" t="str">
            <v>ThÐp lµm xµ</v>
          </cell>
          <cell r="E329" t="str">
            <v>kg</v>
          </cell>
          <cell r="F329">
            <v>77.900000000000006</v>
          </cell>
          <cell r="H329">
            <v>9700</v>
          </cell>
          <cell r="K329">
            <v>755630</v>
          </cell>
        </row>
        <row r="330">
          <cell r="B330">
            <v>2</v>
          </cell>
          <cell r="C330" t="str">
            <v>02.1352</v>
          </cell>
          <cell r="D330" t="str">
            <v>VËn chuyÓn thÐp</v>
          </cell>
          <cell r="E330" t="str">
            <v>TÊn</v>
          </cell>
          <cell r="F330">
            <v>7.7900000000000011E-2</v>
          </cell>
          <cell r="I330">
            <v>27757.71</v>
          </cell>
          <cell r="L330">
            <v>2162.3256090000004</v>
          </cell>
        </row>
        <row r="331">
          <cell r="B331">
            <v>3</v>
          </cell>
          <cell r="C331" t="str">
            <v>05.6032 x 1,5</v>
          </cell>
          <cell r="D331" t="str">
            <v xml:space="preserve">L¾p xµ </v>
          </cell>
          <cell r="E331" t="str">
            <v>bé</v>
          </cell>
          <cell r="F331">
            <v>1</v>
          </cell>
          <cell r="I331">
            <v>47844</v>
          </cell>
          <cell r="L331">
            <v>47844</v>
          </cell>
        </row>
        <row r="332">
          <cell r="A332">
            <v>36</v>
          </cell>
          <cell r="D332" t="str">
            <v>Xµ nÐo b»ng XNB - 35</v>
          </cell>
          <cell r="K332">
            <v>751168</v>
          </cell>
          <cell r="L332">
            <v>49993.557062400003</v>
          </cell>
        </row>
        <row r="333">
          <cell r="B333">
            <v>1</v>
          </cell>
          <cell r="C333" t="str">
            <v>PL§G</v>
          </cell>
          <cell r="D333" t="str">
            <v>ThÐp lµm xµ</v>
          </cell>
          <cell r="E333" t="str">
            <v>kg</v>
          </cell>
          <cell r="F333">
            <v>77.44</v>
          </cell>
          <cell r="H333">
            <v>9700</v>
          </cell>
          <cell r="K333">
            <v>751168</v>
          </cell>
        </row>
        <row r="334">
          <cell r="B334">
            <v>2</v>
          </cell>
          <cell r="C334" t="str">
            <v>02.1352</v>
          </cell>
          <cell r="D334" t="str">
            <v>VËn chuyÓn thÐp</v>
          </cell>
          <cell r="E334" t="str">
            <v>TÊn</v>
          </cell>
          <cell r="F334">
            <v>7.7439999999999995E-2</v>
          </cell>
          <cell r="I334">
            <v>27757.71</v>
          </cell>
          <cell r="L334">
            <v>2149.5570623999997</v>
          </cell>
        </row>
        <row r="335">
          <cell r="B335">
            <v>3</v>
          </cell>
          <cell r="C335" t="str">
            <v>05.6032 x 1,5</v>
          </cell>
          <cell r="D335" t="str">
            <v>L¾p xµ nÐo</v>
          </cell>
          <cell r="E335" t="str">
            <v>bé</v>
          </cell>
          <cell r="F335">
            <v>1</v>
          </cell>
          <cell r="I335">
            <v>47844</v>
          </cell>
          <cell r="L335">
            <v>47844</v>
          </cell>
        </row>
        <row r="336">
          <cell r="A336">
            <v>37</v>
          </cell>
          <cell r="D336" t="str">
            <v>Xµ nÐo trªn cét ®¬n  XN35 - 1L</v>
          </cell>
          <cell r="K336">
            <v>1164582</v>
          </cell>
          <cell r="L336">
            <v>60698.5906626</v>
          </cell>
        </row>
        <row r="337">
          <cell r="B337">
            <v>1</v>
          </cell>
          <cell r="C337" t="str">
            <v>PL§G</v>
          </cell>
          <cell r="D337" t="str">
            <v>ThÐp lµm xµ</v>
          </cell>
          <cell r="E337" t="str">
            <v>kg</v>
          </cell>
          <cell r="F337">
            <v>120.06</v>
          </cell>
          <cell r="H337">
            <v>9700</v>
          </cell>
          <cell r="K337">
            <v>1164582</v>
          </cell>
        </row>
        <row r="338">
          <cell r="B338">
            <v>2</v>
          </cell>
          <cell r="C338" t="str">
            <v>02.1352</v>
          </cell>
          <cell r="D338" t="str">
            <v>VËn chuyÓn thÐp</v>
          </cell>
          <cell r="E338" t="str">
            <v>TÊn</v>
          </cell>
          <cell r="F338">
            <v>0.12006</v>
          </cell>
          <cell r="I338">
            <v>27757.71</v>
          </cell>
          <cell r="L338">
            <v>3332.5906626000001</v>
          </cell>
        </row>
        <row r="339">
          <cell r="B339">
            <v>3</v>
          </cell>
          <cell r="C339" t="str">
            <v>05.6042 x 1,5</v>
          </cell>
          <cell r="D339" t="str">
            <v xml:space="preserve">L¾p xµ </v>
          </cell>
          <cell r="E339" t="str">
            <v>bé</v>
          </cell>
          <cell r="F339">
            <v>1</v>
          </cell>
          <cell r="I339">
            <v>57366</v>
          </cell>
          <cell r="L339">
            <v>57366</v>
          </cell>
        </row>
        <row r="340">
          <cell r="A340">
            <v>38</v>
          </cell>
          <cell r="D340" t="str">
            <v>Xµ nÐo gãc h×nh cæng XNII35-1L</v>
          </cell>
          <cell r="K340">
            <v>1622325</v>
          </cell>
          <cell r="L340">
            <v>92292.476997499994</v>
          </cell>
        </row>
        <row r="341">
          <cell r="B341">
            <v>1</v>
          </cell>
          <cell r="C341" t="str">
            <v>PL§G</v>
          </cell>
          <cell r="D341" t="str">
            <v>ThÐp lµm xµ</v>
          </cell>
          <cell r="E341" t="str">
            <v>kg</v>
          </cell>
          <cell r="F341">
            <v>167.25</v>
          </cell>
          <cell r="H341">
            <v>9700</v>
          </cell>
          <cell r="K341">
            <v>1622325</v>
          </cell>
        </row>
        <row r="342">
          <cell r="B342">
            <v>2</v>
          </cell>
          <cell r="C342" t="str">
            <v>02.1352</v>
          </cell>
          <cell r="D342" t="str">
            <v>VËn chuyÓn thÐp</v>
          </cell>
          <cell r="E342" t="str">
            <v>TÊn</v>
          </cell>
          <cell r="F342">
            <v>0.16725000000000001</v>
          </cell>
          <cell r="I342">
            <v>27757.71</v>
          </cell>
          <cell r="L342">
            <v>4642.4769974999999</v>
          </cell>
        </row>
        <row r="343">
          <cell r="B343">
            <v>3</v>
          </cell>
          <cell r="C343" t="str">
            <v>05.6054 x 1,7</v>
          </cell>
          <cell r="D343" t="str">
            <v xml:space="preserve">L¾p xµ </v>
          </cell>
          <cell r="E343" t="str">
            <v>bé</v>
          </cell>
          <cell r="F343">
            <v>1</v>
          </cell>
          <cell r="I343">
            <v>87650</v>
          </cell>
          <cell r="L343">
            <v>87650</v>
          </cell>
        </row>
        <row r="344">
          <cell r="A344">
            <v>39</v>
          </cell>
          <cell r="D344" t="str">
            <v>Xµ nÐo cét ®óp XND35 - 1L</v>
          </cell>
          <cell r="K344">
            <v>1218999</v>
          </cell>
          <cell r="L344">
            <v>52221.311415700002</v>
          </cell>
        </row>
        <row r="345">
          <cell r="B345">
            <v>1</v>
          </cell>
          <cell r="C345" t="str">
            <v>PL§G</v>
          </cell>
          <cell r="D345" t="str">
            <v>ThÐp lµm xµ</v>
          </cell>
          <cell r="E345" t="str">
            <v>kg</v>
          </cell>
          <cell r="F345">
            <v>125.67</v>
          </cell>
          <cell r="H345">
            <v>9700</v>
          </cell>
          <cell r="K345">
            <v>1218999</v>
          </cell>
        </row>
        <row r="346">
          <cell r="B346">
            <v>2</v>
          </cell>
          <cell r="C346" t="str">
            <v>02.1352</v>
          </cell>
          <cell r="D346" t="str">
            <v>V/c xµ thÐp</v>
          </cell>
          <cell r="E346" t="str">
            <v>TÊn</v>
          </cell>
          <cell r="F346">
            <v>0.12567</v>
          </cell>
          <cell r="I346">
            <v>27757.71</v>
          </cell>
          <cell r="L346">
            <v>3488.3114157</v>
          </cell>
        </row>
        <row r="347">
          <cell r="B347">
            <v>3</v>
          </cell>
          <cell r="C347" t="str">
            <v>05.6043 x 1,7</v>
          </cell>
          <cell r="D347" t="str">
            <v xml:space="preserve">L¾p xµ </v>
          </cell>
          <cell r="E347" t="str">
            <v>Bé</v>
          </cell>
          <cell r="F347">
            <v>1</v>
          </cell>
          <cell r="I347">
            <v>48733</v>
          </cell>
          <cell r="L347">
            <v>48733</v>
          </cell>
        </row>
        <row r="348">
          <cell r="A348">
            <v>40</v>
          </cell>
          <cell r="D348" t="str">
            <v>Xµ rÏ XR 35A- 1L</v>
          </cell>
          <cell r="K348">
            <v>552900</v>
          </cell>
          <cell r="L348">
            <v>49426.189469999998</v>
          </cell>
        </row>
        <row r="349">
          <cell r="B349">
            <v>1</v>
          </cell>
          <cell r="C349" t="str">
            <v>PL§G</v>
          </cell>
          <cell r="D349" t="str">
            <v>ThÐp lµm xµ</v>
          </cell>
          <cell r="E349" t="str">
            <v>kg</v>
          </cell>
          <cell r="F349">
            <v>57</v>
          </cell>
          <cell r="H349">
            <v>9700</v>
          </cell>
          <cell r="K349">
            <v>552900</v>
          </cell>
        </row>
        <row r="350">
          <cell r="B350">
            <v>2</v>
          </cell>
          <cell r="C350" t="str">
            <v>02.1352</v>
          </cell>
          <cell r="D350" t="str">
            <v>VËn chuyÓn thÐp</v>
          </cell>
          <cell r="E350" t="str">
            <v>TÊn</v>
          </cell>
          <cell r="F350">
            <v>5.7000000000000002E-2</v>
          </cell>
          <cell r="I350">
            <v>27757.71</v>
          </cell>
          <cell r="K350">
            <v>0</v>
          </cell>
          <cell r="L350">
            <v>1582.18947</v>
          </cell>
        </row>
        <row r="351">
          <cell r="B351">
            <v>3</v>
          </cell>
          <cell r="C351" t="str">
            <v>05.6032 x 1,5</v>
          </cell>
          <cell r="D351" t="str">
            <v xml:space="preserve">L¾p xµ </v>
          </cell>
          <cell r="E351" t="str">
            <v>bé</v>
          </cell>
          <cell r="F351">
            <v>1</v>
          </cell>
          <cell r="I351">
            <v>47844</v>
          </cell>
          <cell r="K351">
            <v>0</v>
          </cell>
          <cell r="L351">
            <v>47844</v>
          </cell>
        </row>
        <row r="352">
          <cell r="A352">
            <v>41</v>
          </cell>
          <cell r="D352" t="str">
            <v>Xµ rÏ XR  - 10</v>
          </cell>
          <cell r="K352">
            <v>640200</v>
          </cell>
          <cell r="L352">
            <v>49676.008860000002</v>
          </cell>
        </row>
        <row r="353">
          <cell r="B353">
            <v>1</v>
          </cell>
          <cell r="C353" t="str">
            <v>§G67</v>
          </cell>
          <cell r="D353" t="str">
            <v>ThÐp lµm xµ</v>
          </cell>
          <cell r="E353" t="str">
            <v>kg</v>
          </cell>
          <cell r="F353">
            <v>66</v>
          </cell>
          <cell r="H353">
            <v>9700</v>
          </cell>
          <cell r="K353">
            <v>640200</v>
          </cell>
        </row>
        <row r="354">
          <cell r="B354">
            <v>2</v>
          </cell>
          <cell r="C354" t="str">
            <v>02.1352</v>
          </cell>
          <cell r="D354" t="str">
            <v>VËn chuyÓn thÐp</v>
          </cell>
          <cell r="E354" t="str">
            <v>TÊn</v>
          </cell>
          <cell r="F354">
            <v>6.6000000000000003E-2</v>
          </cell>
          <cell r="I354">
            <v>27757.71</v>
          </cell>
          <cell r="L354">
            <v>1832.0088600000001</v>
          </cell>
        </row>
        <row r="355">
          <cell r="B355">
            <v>3</v>
          </cell>
          <cell r="C355" t="str">
            <v>05.6032 x 1,5</v>
          </cell>
          <cell r="D355" t="str">
            <v xml:space="preserve">L¾p xµ </v>
          </cell>
          <cell r="E355" t="str">
            <v>bé</v>
          </cell>
          <cell r="F355">
            <v>1</v>
          </cell>
          <cell r="I355">
            <v>47844</v>
          </cell>
          <cell r="L355">
            <v>47844</v>
          </cell>
        </row>
        <row r="356">
          <cell r="A356">
            <v>42</v>
          </cell>
          <cell r="D356" t="str">
            <v>Xµ cÇu dao XCD-35</v>
          </cell>
          <cell r="K356">
            <v>654944.00000000012</v>
          </cell>
          <cell r="L356">
            <v>49718.200579199998</v>
          </cell>
        </row>
        <row r="357">
          <cell r="B357">
            <v>1</v>
          </cell>
          <cell r="C357" t="str">
            <v>PL§G</v>
          </cell>
          <cell r="D357" t="str">
            <v>ThÐp lµm xµ</v>
          </cell>
          <cell r="E357" t="str">
            <v>kg</v>
          </cell>
          <cell r="F357">
            <v>67.52000000000001</v>
          </cell>
          <cell r="H357">
            <v>9700</v>
          </cell>
          <cell r="K357">
            <v>654944.00000000012</v>
          </cell>
        </row>
        <row r="358">
          <cell r="B358">
            <v>2</v>
          </cell>
          <cell r="C358" t="str">
            <v>02.1352</v>
          </cell>
          <cell r="D358" t="str">
            <v>VËn chuyÓn thÐp</v>
          </cell>
          <cell r="E358" t="str">
            <v>TÊn</v>
          </cell>
          <cell r="F358">
            <v>6.7520000000000011E-2</v>
          </cell>
          <cell r="I358">
            <v>27757.71</v>
          </cell>
          <cell r="L358">
            <v>1874.2005792000002</v>
          </cell>
        </row>
        <row r="359">
          <cell r="B359">
            <v>3</v>
          </cell>
          <cell r="C359" t="str">
            <v>05.6032 x 1,5</v>
          </cell>
          <cell r="D359" t="str">
            <v xml:space="preserve">L¾p xµ </v>
          </cell>
          <cell r="E359" t="str">
            <v>bé</v>
          </cell>
          <cell r="F359">
            <v>1</v>
          </cell>
          <cell r="I359">
            <v>47844</v>
          </cell>
          <cell r="L359">
            <v>47844</v>
          </cell>
        </row>
        <row r="360">
          <cell r="A360">
            <v>43</v>
          </cell>
          <cell r="D360" t="str">
            <v>Cæ dÒ nÐo d©y CND-2</v>
          </cell>
          <cell r="K360">
            <v>124257</v>
          </cell>
          <cell r="L360">
            <v>6043.5762651000005</v>
          </cell>
        </row>
        <row r="361">
          <cell r="B361">
            <v>1</v>
          </cell>
          <cell r="C361" t="str">
            <v>§G67</v>
          </cell>
          <cell r="D361" t="str">
            <v>ThÐp lµm cæ dÒ</v>
          </cell>
          <cell r="E361" t="str">
            <v>kg</v>
          </cell>
          <cell r="F361">
            <v>12.81</v>
          </cell>
          <cell r="H361">
            <v>9700</v>
          </cell>
          <cell r="K361">
            <v>124257</v>
          </cell>
          <cell r="L361">
            <v>0</v>
          </cell>
        </row>
        <row r="362">
          <cell r="B362">
            <v>2</v>
          </cell>
          <cell r="C362" t="str">
            <v>06.2110</v>
          </cell>
          <cell r="D362" t="str">
            <v>L¾p cæ dÒ</v>
          </cell>
          <cell r="E362" t="str">
            <v>Bé</v>
          </cell>
          <cell r="F362">
            <v>1</v>
          </cell>
          <cell r="I362">
            <v>5688</v>
          </cell>
          <cell r="L362">
            <v>5688</v>
          </cell>
        </row>
        <row r="363">
          <cell r="B363">
            <v>3</v>
          </cell>
          <cell r="C363" t="str">
            <v>02.1352</v>
          </cell>
          <cell r="D363" t="str">
            <v>VËn chuyÓn cæ dÒ</v>
          </cell>
          <cell r="E363" t="str">
            <v>TÊn</v>
          </cell>
          <cell r="F363">
            <v>1.281E-2</v>
          </cell>
          <cell r="I363">
            <v>27757.71</v>
          </cell>
          <cell r="L363">
            <v>355.5762651</v>
          </cell>
        </row>
        <row r="364">
          <cell r="A364">
            <v>44</v>
          </cell>
          <cell r="D364" t="str">
            <v>Cæ dÒ nÐo cuèi CNC - 98</v>
          </cell>
          <cell r="K364">
            <v>83711.000000000015</v>
          </cell>
          <cell r="L364">
            <v>5927.5490373000002</v>
          </cell>
        </row>
        <row r="365">
          <cell r="B365">
            <v>1</v>
          </cell>
          <cell r="C365" t="str">
            <v>§G67</v>
          </cell>
          <cell r="D365" t="str">
            <v>ThÐp lµm cæ dÒ</v>
          </cell>
          <cell r="E365" t="str">
            <v>kg</v>
          </cell>
          <cell r="F365">
            <v>8.6300000000000008</v>
          </cell>
          <cell r="H365">
            <v>9700</v>
          </cell>
          <cell r="K365">
            <v>83711.000000000015</v>
          </cell>
          <cell r="L365">
            <v>0</v>
          </cell>
        </row>
        <row r="366">
          <cell r="B366">
            <v>2</v>
          </cell>
          <cell r="C366" t="str">
            <v>06.2110</v>
          </cell>
          <cell r="D366" t="str">
            <v>L¾p cæ dÒ</v>
          </cell>
          <cell r="E366" t="str">
            <v>Bé</v>
          </cell>
          <cell r="F366">
            <v>1</v>
          </cell>
          <cell r="I366">
            <v>5688</v>
          </cell>
          <cell r="L366">
            <v>5688</v>
          </cell>
        </row>
        <row r="367">
          <cell r="B367">
            <v>3</v>
          </cell>
          <cell r="C367" t="str">
            <v>02.1352</v>
          </cell>
          <cell r="D367" t="str">
            <v>VËn chuyÓn cæ dÒ</v>
          </cell>
          <cell r="E367" t="str">
            <v>TÊn</v>
          </cell>
          <cell r="F367">
            <v>8.6300000000000005E-3</v>
          </cell>
          <cell r="I367">
            <v>27757.71</v>
          </cell>
          <cell r="L367">
            <v>239.54903730000001</v>
          </cell>
        </row>
        <row r="368">
          <cell r="A368">
            <v>45</v>
          </cell>
          <cell r="D368" t="str">
            <v>Cæ dÒ nÐo d©y chèng sÐt CNS+Kho¸ nÐo</v>
          </cell>
          <cell r="K368">
            <v>177527</v>
          </cell>
          <cell r="L368">
            <v>6085.2128301000002</v>
          </cell>
        </row>
        <row r="369">
          <cell r="B369">
            <v>1</v>
          </cell>
          <cell r="C369" t="str">
            <v>PLDG</v>
          </cell>
          <cell r="D369" t="str">
            <v>Kho¸ nÐo</v>
          </cell>
          <cell r="E369" t="str">
            <v>c¸i</v>
          </cell>
          <cell r="F369">
            <v>2</v>
          </cell>
          <cell r="H369">
            <v>13636</v>
          </cell>
          <cell r="K369">
            <v>27272</v>
          </cell>
        </row>
        <row r="370">
          <cell r="B370">
            <v>2</v>
          </cell>
          <cell r="C370" t="str">
            <v>PL§G</v>
          </cell>
          <cell r="D370" t="str">
            <v>ThÐp lµm cæ dÒ</v>
          </cell>
          <cell r="E370" t="str">
            <v>kg</v>
          </cell>
          <cell r="F370">
            <v>14.31</v>
          </cell>
          <cell r="H370">
            <v>10500</v>
          </cell>
          <cell r="K370">
            <v>150255</v>
          </cell>
          <cell r="L370">
            <v>0</v>
          </cell>
        </row>
        <row r="371">
          <cell r="B371">
            <v>3</v>
          </cell>
          <cell r="C371" t="str">
            <v>06.2110</v>
          </cell>
          <cell r="D371" t="str">
            <v>L¾p cæ dÒ</v>
          </cell>
          <cell r="E371" t="str">
            <v>Bé</v>
          </cell>
          <cell r="F371">
            <v>1</v>
          </cell>
          <cell r="I371">
            <v>5688</v>
          </cell>
          <cell r="L371">
            <v>5688</v>
          </cell>
        </row>
        <row r="372">
          <cell r="B372">
            <v>4</v>
          </cell>
          <cell r="C372" t="str">
            <v>02.1352</v>
          </cell>
          <cell r="D372" t="str">
            <v>VËn chuyÓn cæ dÒ</v>
          </cell>
          <cell r="E372" t="str">
            <v>TÊn</v>
          </cell>
          <cell r="F372">
            <v>1.431E-2</v>
          </cell>
          <cell r="I372">
            <v>27757.71</v>
          </cell>
          <cell r="L372">
            <v>397.21283009999996</v>
          </cell>
        </row>
        <row r="373">
          <cell r="A373">
            <v>46</v>
          </cell>
          <cell r="D373" t="str">
            <v xml:space="preserve">Cæ dÒ ®ì d©y chèng sÐt CND +Kho¸ ®ì </v>
          </cell>
          <cell r="K373">
            <v>180509</v>
          </cell>
          <cell r="L373">
            <v>6076.6079399999999</v>
          </cell>
        </row>
        <row r="374">
          <cell r="B374">
            <v>1</v>
          </cell>
          <cell r="C374" t="str">
            <v>PLDG</v>
          </cell>
          <cell r="D374" t="str">
            <v>Kho¸ ®ì</v>
          </cell>
          <cell r="E374" t="str">
            <v>c¸i</v>
          </cell>
          <cell r="F374">
            <v>1</v>
          </cell>
          <cell r="H374">
            <v>33509</v>
          </cell>
          <cell r="K374">
            <v>33509</v>
          </cell>
        </row>
        <row r="375">
          <cell r="B375">
            <v>2</v>
          </cell>
          <cell r="C375" t="str">
            <v>PL§G</v>
          </cell>
          <cell r="D375" t="str">
            <v>ThÐp lµm cæ dÒ</v>
          </cell>
          <cell r="E375" t="str">
            <v>kg</v>
          </cell>
          <cell r="F375">
            <v>14</v>
          </cell>
          <cell r="H375">
            <v>10500</v>
          </cell>
          <cell r="K375">
            <v>147000</v>
          </cell>
        </row>
        <row r="376">
          <cell r="B376">
            <v>3</v>
          </cell>
          <cell r="C376" t="str">
            <v>06.2110</v>
          </cell>
          <cell r="D376" t="str">
            <v>L¾p cæ dÒ</v>
          </cell>
          <cell r="E376" t="str">
            <v>bé</v>
          </cell>
          <cell r="F376">
            <v>1</v>
          </cell>
          <cell r="I376">
            <v>5688</v>
          </cell>
          <cell r="L376">
            <v>5688</v>
          </cell>
        </row>
        <row r="377">
          <cell r="B377">
            <v>4</v>
          </cell>
          <cell r="C377" t="str">
            <v>02.1352</v>
          </cell>
          <cell r="D377" t="str">
            <v>VËn chuyÓn thÐp</v>
          </cell>
          <cell r="E377" t="str">
            <v>TÊn</v>
          </cell>
          <cell r="F377">
            <v>1.4E-2</v>
          </cell>
          <cell r="I377">
            <v>27757.71</v>
          </cell>
          <cell r="L377">
            <v>388.60793999999999</v>
          </cell>
        </row>
        <row r="378">
          <cell r="A378">
            <v>47</v>
          </cell>
          <cell r="D378" t="str">
            <v>GhÕ c¸ch ®iÖn GC§</v>
          </cell>
          <cell r="K378">
            <v>856995</v>
          </cell>
          <cell r="L378">
            <v>173597.3936785</v>
          </cell>
        </row>
        <row r="379">
          <cell r="B379">
            <v>1</v>
          </cell>
          <cell r="C379" t="str">
            <v>PL§G</v>
          </cell>
          <cell r="D379" t="str">
            <v>ThÐp lµm ghÕ</v>
          </cell>
          <cell r="E379" t="str">
            <v>kg</v>
          </cell>
          <cell r="F379">
            <v>88.35</v>
          </cell>
          <cell r="H379">
            <v>9700</v>
          </cell>
          <cell r="K379">
            <v>856995</v>
          </cell>
          <cell r="L379">
            <v>0</v>
          </cell>
        </row>
        <row r="380">
          <cell r="B380">
            <v>2</v>
          </cell>
          <cell r="C380" t="str">
            <v>02.1352</v>
          </cell>
          <cell r="D380" t="str">
            <v>V/c xµ thÐp</v>
          </cell>
          <cell r="E380" t="str">
            <v xml:space="preserve">TÊn </v>
          </cell>
          <cell r="F380">
            <v>8.8349999999999998E-2</v>
          </cell>
          <cell r="I380">
            <v>27757.71</v>
          </cell>
          <cell r="L380">
            <v>2452.3936785000001</v>
          </cell>
        </row>
        <row r="381">
          <cell r="B381">
            <v>3</v>
          </cell>
          <cell r="C381" t="str">
            <v>04.8101</v>
          </cell>
          <cell r="D381" t="str">
            <v>L¾p ghÕ thÐp TL&lt;140kg</v>
          </cell>
          <cell r="E381" t="str">
            <v>Bé</v>
          </cell>
          <cell r="F381">
            <v>1</v>
          </cell>
          <cell r="I381">
            <v>171145</v>
          </cell>
          <cell r="L381">
            <v>171145</v>
          </cell>
        </row>
        <row r="382">
          <cell r="A382">
            <v>48</v>
          </cell>
          <cell r="D382" t="str">
            <v>Thang s¾t</v>
          </cell>
          <cell r="K382">
            <v>337783.98</v>
          </cell>
          <cell r="L382">
            <v>172109.0252683</v>
          </cell>
        </row>
        <row r="383">
          <cell r="B383">
            <v>1</v>
          </cell>
          <cell r="C383" t="str">
            <v>PL§G</v>
          </cell>
          <cell r="D383" t="str">
            <v>ThÐp lµm thang</v>
          </cell>
          <cell r="E383" t="str">
            <v>kg</v>
          </cell>
          <cell r="F383">
            <v>34.729999999999997</v>
          </cell>
          <cell r="H383">
            <v>9726</v>
          </cell>
          <cell r="K383">
            <v>337783.98</v>
          </cell>
          <cell r="L383">
            <v>0</v>
          </cell>
        </row>
        <row r="384">
          <cell r="B384">
            <v>2</v>
          </cell>
          <cell r="C384" t="str">
            <v>04.8101</v>
          </cell>
          <cell r="D384" t="str">
            <v>L¾p thang</v>
          </cell>
          <cell r="E384" t="str">
            <v>Bé</v>
          </cell>
          <cell r="F384">
            <v>1</v>
          </cell>
          <cell r="I384">
            <v>171145</v>
          </cell>
          <cell r="L384">
            <v>171145</v>
          </cell>
        </row>
        <row r="385">
          <cell r="B385">
            <v>3</v>
          </cell>
          <cell r="C385" t="str">
            <v>02.1352</v>
          </cell>
          <cell r="D385" t="str">
            <v xml:space="preserve">v/c thÐp </v>
          </cell>
          <cell r="E385" t="str">
            <v>TÊn</v>
          </cell>
          <cell r="F385">
            <v>3.4729999999999997E-2</v>
          </cell>
          <cell r="I385">
            <v>27757.71</v>
          </cell>
          <cell r="L385">
            <v>964.02526829999988</v>
          </cell>
        </row>
        <row r="386">
          <cell r="A386">
            <v>49</v>
          </cell>
          <cell r="D386" t="str">
            <v>D©y nÐo DN20-10</v>
          </cell>
          <cell r="K386">
            <v>341502</v>
          </cell>
          <cell r="L386">
            <v>8215.7917600399996</v>
          </cell>
        </row>
        <row r="387">
          <cell r="B387">
            <v>1</v>
          </cell>
          <cell r="C387" t="str">
            <v>PL§G</v>
          </cell>
          <cell r="D387" t="str">
            <v>ThÐp lµm d©y nÐo</v>
          </cell>
          <cell r="E387" t="str">
            <v>kg</v>
          </cell>
          <cell r="F387">
            <v>32.524000000000001</v>
          </cell>
          <cell r="H387">
            <v>10500</v>
          </cell>
          <cell r="K387">
            <v>341502</v>
          </cell>
          <cell r="L387">
            <v>0</v>
          </cell>
        </row>
        <row r="388">
          <cell r="B388">
            <v>2</v>
          </cell>
          <cell r="C388" t="str">
            <v>06.2120</v>
          </cell>
          <cell r="D388" t="str">
            <v>L¾p d©y nÐo</v>
          </cell>
          <cell r="E388" t="str">
            <v>Bé</v>
          </cell>
          <cell r="F388">
            <v>1</v>
          </cell>
          <cell r="I388">
            <v>7313</v>
          </cell>
          <cell r="L388">
            <v>7313</v>
          </cell>
        </row>
        <row r="389">
          <cell r="B389">
            <v>3</v>
          </cell>
          <cell r="C389" t="str">
            <v>02.1352</v>
          </cell>
          <cell r="D389" t="str">
            <v>V/c d©y nÐo</v>
          </cell>
          <cell r="E389" t="str">
            <v>TÊn</v>
          </cell>
          <cell r="F389">
            <v>3.2524000000000004E-2</v>
          </cell>
          <cell r="I389">
            <v>27757.71</v>
          </cell>
          <cell r="L389">
            <v>902.7917600400001</v>
          </cell>
        </row>
        <row r="390">
          <cell r="A390">
            <v>50</v>
          </cell>
          <cell r="D390" t="str">
            <v>D©y nÐo DN20-12</v>
          </cell>
          <cell r="K390">
            <v>400804</v>
          </cell>
          <cell r="L390">
            <v>8459.9485772000007</v>
          </cell>
        </row>
        <row r="391">
          <cell r="B391">
            <v>1</v>
          </cell>
          <cell r="C391" t="str">
            <v>§G67</v>
          </cell>
          <cell r="D391" t="str">
            <v>ThÐp lµm d©y nÐo</v>
          </cell>
          <cell r="E391" t="str">
            <v>kg</v>
          </cell>
          <cell r="F391">
            <v>41.32</v>
          </cell>
          <cell r="H391">
            <v>9700</v>
          </cell>
          <cell r="K391">
            <v>400804</v>
          </cell>
          <cell r="L391">
            <v>0</v>
          </cell>
        </row>
        <row r="392">
          <cell r="B392">
            <v>2</v>
          </cell>
          <cell r="C392" t="str">
            <v>06.2120</v>
          </cell>
          <cell r="D392" t="str">
            <v>L¾p d©y nÐo</v>
          </cell>
          <cell r="E392" t="str">
            <v>Bé</v>
          </cell>
          <cell r="F392">
            <v>1</v>
          </cell>
          <cell r="I392">
            <v>7313</v>
          </cell>
          <cell r="L392">
            <v>7313</v>
          </cell>
        </row>
        <row r="393">
          <cell r="B393">
            <v>3</v>
          </cell>
          <cell r="C393" t="str">
            <v>02.1352</v>
          </cell>
          <cell r="D393" t="str">
            <v>V/c d©y nÐo</v>
          </cell>
          <cell r="E393" t="str">
            <v>TÊn</v>
          </cell>
          <cell r="F393">
            <v>4.1320000000000003E-2</v>
          </cell>
          <cell r="I393">
            <v>27757.71</v>
          </cell>
          <cell r="L393">
            <v>1146.9485772</v>
          </cell>
        </row>
        <row r="394">
          <cell r="A394">
            <v>51</v>
          </cell>
          <cell r="D394" t="str">
            <v>D©y nÐo DN20-14</v>
          </cell>
          <cell r="K394">
            <v>445242.00000000006</v>
          </cell>
          <cell r="L394">
            <v>8490.0379348400002</v>
          </cell>
        </row>
        <row r="395">
          <cell r="B395">
            <v>1</v>
          </cell>
          <cell r="C395" t="str">
            <v>PL§G</v>
          </cell>
          <cell r="D395" t="str">
            <v>ThÐp lµm d©y nÐo</v>
          </cell>
          <cell r="E395" t="str">
            <v>kg</v>
          </cell>
          <cell r="F395">
            <v>42.404000000000003</v>
          </cell>
          <cell r="H395">
            <v>10500</v>
          </cell>
          <cell r="K395">
            <v>445242.00000000006</v>
          </cell>
          <cell r="L395">
            <v>0</v>
          </cell>
        </row>
        <row r="396">
          <cell r="B396">
            <v>2</v>
          </cell>
          <cell r="C396" t="str">
            <v>06.2120</v>
          </cell>
          <cell r="D396" t="str">
            <v>L¾p d©y nÐo</v>
          </cell>
          <cell r="E396" t="str">
            <v>Bé</v>
          </cell>
          <cell r="F396">
            <v>1</v>
          </cell>
          <cell r="I396">
            <v>7313</v>
          </cell>
          <cell r="L396">
            <v>7313</v>
          </cell>
        </row>
        <row r="397">
          <cell r="B397">
            <v>3</v>
          </cell>
          <cell r="C397" t="str">
            <v>02.1352</v>
          </cell>
          <cell r="D397" t="str">
            <v>V/c d©y nÐo</v>
          </cell>
          <cell r="E397" t="str">
            <v>TÊn</v>
          </cell>
          <cell r="F397">
            <v>4.2404000000000004E-2</v>
          </cell>
          <cell r="I397">
            <v>27757.71</v>
          </cell>
          <cell r="L397">
            <v>1177.0379348400002</v>
          </cell>
        </row>
        <row r="398">
          <cell r="A398">
            <v>52</v>
          </cell>
          <cell r="D398" t="str">
            <v>D©y nÐo DN20-16</v>
          </cell>
          <cell r="K398">
            <v>497112</v>
          </cell>
          <cell r="L398">
            <v>8627.1610222399995</v>
          </cell>
        </row>
        <row r="399">
          <cell r="B399">
            <v>1</v>
          </cell>
          <cell r="C399" t="str">
            <v>PL§G</v>
          </cell>
          <cell r="D399" t="str">
            <v>ThÐp lµm d©y nÐo</v>
          </cell>
          <cell r="E399" t="str">
            <v>kg</v>
          </cell>
          <cell r="F399">
            <v>47.344000000000001</v>
          </cell>
          <cell r="H399">
            <v>10500</v>
          </cell>
          <cell r="K399">
            <v>497112</v>
          </cell>
          <cell r="L399">
            <v>0</v>
          </cell>
        </row>
        <row r="400">
          <cell r="B400">
            <v>2</v>
          </cell>
          <cell r="C400" t="str">
            <v>06.2120</v>
          </cell>
          <cell r="D400" t="str">
            <v>L¾p d©y nÐo</v>
          </cell>
          <cell r="E400" t="str">
            <v>Bé</v>
          </cell>
          <cell r="F400">
            <v>1</v>
          </cell>
          <cell r="I400">
            <v>7313</v>
          </cell>
          <cell r="L400">
            <v>7313</v>
          </cell>
        </row>
        <row r="401">
          <cell r="B401">
            <v>3</v>
          </cell>
          <cell r="C401" t="str">
            <v>02.1352</v>
          </cell>
          <cell r="D401" t="str">
            <v>V/c d©y nÐo</v>
          </cell>
          <cell r="E401" t="str">
            <v>TÊn</v>
          </cell>
          <cell r="F401">
            <v>4.7344000000000004E-2</v>
          </cell>
          <cell r="I401">
            <v>27757.71</v>
          </cell>
          <cell r="L401">
            <v>1314.16102224</v>
          </cell>
        </row>
        <row r="402">
          <cell r="A402">
            <v>53</v>
          </cell>
          <cell r="D402" t="str">
            <v>D©y nÐo DN20-18</v>
          </cell>
          <cell r="K402">
            <v>548982</v>
          </cell>
          <cell r="L402">
            <v>8764.2841096400007</v>
          </cell>
        </row>
        <row r="403">
          <cell r="B403">
            <v>1</v>
          </cell>
          <cell r="C403" t="str">
            <v>PL§G</v>
          </cell>
          <cell r="D403" t="str">
            <v>ThÐp lµm d©y nÐo</v>
          </cell>
          <cell r="E403" t="str">
            <v>kg</v>
          </cell>
          <cell r="F403">
            <v>52.283999999999999</v>
          </cell>
          <cell r="H403">
            <v>10500</v>
          </cell>
          <cell r="K403">
            <v>548982</v>
          </cell>
          <cell r="L403">
            <v>0</v>
          </cell>
        </row>
        <row r="404">
          <cell r="B404">
            <v>2</v>
          </cell>
          <cell r="C404" t="str">
            <v>06.2120</v>
          </cell>
          <cell r="D404" t="str">
            <v>L¾p d©y nÐo</v>
          </cell>
          <cell r="E404" t="str">
            <v>Bé</v>
          </cell>
          <cell r="F404">
            <v>1</v>
          </cell>
          <cell r="I404">
            <v>7313</v>
          </cell>
          <cell r="L404">
            <v>7313</v>
          </cell>
        </row>
        <row r="405">
          <cell r="B405">
            <v>3</v>
          </cell>
          <cell r="C405" t="str">
            <v>02.1352</v>
          </cell>
          <cell r="D405" t="str">
            <v>V/c d©y nÐo</v>
          </cell>
          <cell r="E405" t="str">
            <v>TÊn</v>
          </cell>
          <cell r="F405">
            <v>5.2283999999999997E-2</v>
          </cell>
          <cell r="I405">
            <v>27757.71</v>
          </cell>
          <cell r="L405">
            <v>1451.2841096399998</v>
          </cell>
        </row>
        <row r="406">
          <cell r="A406">
            <v>54</v>
          </cell>
          <cell r="D406" t="str">
            <v>D©y nÐo DN20-20</v>
          </cell>
          <cell r="K406">
            <v>600852</v>
          </cell>
          <cell r="L406">
            <v>8901.40719704</v>
          </cell>
        </row>
        <row r="407">
          <cell r="B407">
            <v>1</v>
          </cell>
          <cell r="C407" t="str">
            <v>PL§G</v>
          </cell>
          <cell r="D407" t="str">
            <v>ThÐp lµm d©y nÐo</v>
          </cell>
          <cell r="E407" t="str">
            <v>kg</v>
          </cell>
          <cell r="F407">
            <v>57.223999999999997</v>
          </cell>
          <cell r="H407">
            <v>10500</v>
          </cell>
          <cell r="K407">
            <v>600852</v>
          </cell>
          <cell r="L407">
            <v>0</v>
          </cell>
        </row>
        <row r="408">
          <cell r="B408">
            <v>2</v>
          </cell>
          <cell r="C408" t="str">
            <v>06.2120</v>
          </cell>
          <cell r="D408" t="str">
            <v>L¾p d©y nÐo</v>
          </cell>
          <cell r="E408" t="str">
            <v>Bé</v>
          </cell>
          <cell r="F408">
            <v>1</v>
          </cell>
          <cell r="I408">
            <v>7313</v>
          </cell>
          <cell r="L408">
            <v>7313</v>
          </cell>
        </row>
        <row r="409">
          <cell r="B409">
            <v>3</v>
          </cell>
          <cell r="C409" t="str">
            <v>02.1352</v>
          </cell>
          <cell r="D409" t="str">
            <v>V/c d©y nÐo</v>
          </cell>
          <cell r="E409" t="str">
            <v>TÊn</v>
          </cell>
          <cell r="F409">
            <v>5.7223999999999997E-2</v>
          </cell>
          <cell r="I409">
            <v>27757.71</v>
          </cell>
          <cell r="L409">
            <v>1588.4071970399998</v>
          </cell>
        </row>
        <row r="410">
          <cell r="A410">
            <v>55</v>
          </cell>
          <cell r="D410" t="str">
            <v>Xµ gi¸ l¾p PT-10</v>
          </cell>
          <cell r="K410">
            <v>111805</v>
          </cell>
          <cell r="L410">
            <v>8385.9224740000009</v>
          </cell>
        </row>
        <row r="411">
          <cell r="B411">
            <v>1</v>
          </cell>
          <cell r="C411" t="str">
            <v>§G67</v>
          </cell>
          <cell r="D411" t="str">
            <v>ThÐp lµm gi¸ thu l«i</v>
          </cell>
          <cell r="E411" t="str">
            <v>kg</v>
          </cell>
          <cell r="F411">
            <v>9.4</v>
          </cell>
          <cell r="H411">
            <v>9700</v>
          </cell>
          <cell r="K411">
            <v>91180</v>
          </cell>
        </row>
        <row r="412">
          <cell r="B412">
            <v>2</v>
          </cell>
          <cell r="C412" t="str">
            <v>Q4/2001</v>
          </cell>
          <cell r="D412" t="str">
            <v>CÆp kim thu l«i</v>
          </cell>
          <cell r="E412" t="str">
            <v>Bé</v>
          </cell>
          <cell r="F412">
            <v>3</v>
          </cell>
          <cell r="H412">
            <v>6875</v>
          </cell>
          <cell r="K412">
            <v>20625</v>
          </cell>
        </row>
        <row r="413">
          <cell r="B413">
            <v>3</v>
          </cell>
          <cell r="C413" t="str">
            <v>06.2100</v>
          </cell>
          <cell r="D413" t="str">
            <v>L¾p gi¸ thu l«i trªn xµ ®ì</v>
          </cell>
          <cell r="E413" t="str">
            <v>Bé</v>
          </cell>
          <cell r="F413">
            <v>1</v>
          </cell>
          <cell r="I413">
            <v>8125</v>
          </cell>
          <cell r="K413">
            <v>0</v>
          </cell>
          <cell r="L413">
            <v>8125</v>
          </cell>
        </row>
        <row r="414">
          <cell r="B414">
            <v>4</v>
          </cell>
          <cell r="C414" t="str">
            <v>02.1352</v>
          </cell>
          <cell r="D414" t="str">
            <v xml:space="preserve">V/c thu l«i </v>
          </cell>
          <cell r="E414" t="str">
            <v>TÊn</v>
          </cell>
          <cell r="F414">
            <v>9.4000000000000004E-3</v>
          </cell>
          <cell r="I414">
            <v>27757.71</v>
          </cell>
          <cell r="K414">
            <v>0</v>
          </cell>
          <cell r="L414">
            <v>260.92247400000002</v>
          </cell>
        </row>
        <row r="415">
          <cell r="A415">
            <v>56</v>
          </cell>
          <cell r="D415" t="str">
            <v>Gi¸ ®ì chèng sÐt èng trªn cét nÐo</v>
          </cell>
          <cell r="K415">
            <v>170565</v>
          </cell>
          <cell r="L415">
            <v>8521.3800988000003</v>
          </cell>
        </row>
        <row r="416">
          <cell r="B416">
            <v>1</v>
          </cell>
          <cell r="C416" t="str">
            <v>PL§G</v>
          </cell>
          <cell r="D416" t="str">
            <v xml:space="preserve">ThÐp lµm gi¸ </v>
          </cell>
          <cell r="E416" t="str">
            <v>kg</v>
          </cell>
          <cell r="F416">
            <v>14.28</v>
          </cell>
          <cell r="H416">
            <v>10500</v>
          </cell>
          <cell r="K416">
            <v>149940</v>
          </cell>
        </row>
        <row r="417">
          <cell r="B417">
            <v>2</v>
          </cell>
          <cell r="C417" t="str">
            <v>PL§G</v>
          </cell>
          <cell r="D417" t="str">
            <v>CÆp kim thu l«i</v>
          </cell>
          <cell r="E417" t="str">
            <v>Bé</v>
          </cell>
          <cell r="F417">
            <v>3</v>
          </cell>
          <cell r="H417">
            <v>6875</v>
          </cell>
          <cell r="K417">
            <v>20625</v>
          </cell>
        </row>
        <row r="418">
          <cell r="B418">
            <v>3</v>
          </cell>
          <cell r="C418" t="str">
            <v>06.2090</v>
          </cell>
          <cell r="D418" t="str">
            <v>L¾p gi¸ thu l«i trªn xµ ®ì</v>
          </cell>
          <cell r="E418" t="str">
            <v>Bé</v>
          </cell>
          <cell r="F418">
            <v>1</v>
          </cell>
          <cell r="I418">
            <v>8125</v>
          </cell>
          <cell r="L418">
            <v>8125</v>
          </cell>
        </row>
        <row r="419">
          <cell r="B419">
            <v>4</v>
          </cell>
          <cell r="C419" t="str">
            <v>02.1352</v>
          </cell>
          <cell r="D419" t="str">
            <v xml:space="preserve">V/c thu l«i </v>
          </cell>
          <cell r="E419" t="str">
            <v>TÊn</v>
          </cell>
          <cell r="F419">
            <v>1.4279999999999999E-2</v>
          </cell>
          <cell r="I419">
            <v>27757.71</v>
          </cell>
          <cell r="L419">
            <v>396.38009879999998</v>
          </cell>
        </row>
        <row r="420">
          <cell r="A420">
            <v>57</v>
          </cell>
          <cell r="D420" t="str">
            <v xml:space="preserve">Gi»ng cét GC </v>
          </cell>
          <cell r="K420">
            <v>214758</v>
          </cell>
          <cell r="L420">
            <v>11299.8149429</v>
          </cell>
        </row>
        <row r="421">
          <cell r="B421">
            <v>1</v>
          </cell>
          <cell r="C421" t="str">
            <v>PL§G</v>
          </cell>
          <cell r="D421" t="str">
            <v>ThÐp lµm chi tiÕt</v>
          </cell>
          <cell r="E421" t="str">
            <v>kg</v>
          </cell>
          <cell r="F421">
            <v>22.14</v>
          </cell>
          <cell r="H421">
            <v>9700</v>
          </cell>
          <cell r="K421">
            <v>214758</v>
          </cell>
        </row>
        <row r="422">
          <cell r="B422">
            <v>2</v>
          </cell>
          <cell r="C422" t="str">
            <v>055.111</v>
          </cell>
          <cell r="D422" t="str">
            <v>L¾p chi tiÕt trªn cét ®· dùng</v>
          </cell>
          <cell r="E422" t="str">
            <v>Bé</v>
          </cell>
          <cell r="F422">
            <v>1</v>
          </cell>
          <cell r="I422">
            <v>10967</v>
          </cell>
          <cell r="L422">
            <v>10967</v>
          </cell>
        </row>
        <row r="423">
          <cell r="B423">
            <v>3</v>
          </cell>
          <cell r="C423" t="str">
            <v>02.1352</v>
          </cell>
          <cell r="D423" t="str">
            <v xml:space="preserve">v/c thÐp </v>
          </cell>
          <cell r="E423" t="str">
            <v>TÊn</v>
          </cell>
          <cell r="F423">
            <v>1.1990000000000001E-2</v>
          </cell>
          <cell r="I423">
            <v>27757.71</v>
          </cell>
          <cell r="L423">
            <v>332.81494290000001</v>
          </cell>
        </row>
        <row r="424">
          <cell r="A424">
            <v>58</v>
          </cell>
          <cell r="D424" t="str">
            <v>TÊm b¾t sø</v>
          </cell>
          <cell r="K424">
            <v>44620</v>
          </cell>
          <cell r="L424">
            <v>11094.685466000001</v>
          </cell>
        </row>
        <row r="425">
          <cell r="B425">
            <v>1</v>
          </cell>
          <cell r="C425" t="str">
            <v>PL§G</v>
          </cell>
          <cell r="D425" t="str">
            <v>ThÐp lµm chi tiÕt</v>
          </cell>
          <cell r="E425" t="str">
            <v>kg</v>
          </cell>
          <cell r="F425">
            <v>4.5999999999999996</v>
          </cell>
          <cell r="H425">
            <v>9700</v>
          </cell>
          <cell r="K425">
            <v>44620</v>
          </cell>
        </row>
        <row r="426">
          <cell r="B426">
            <v>2</v>
          </cell>
          <cell r="C426" t="str">
            <v>055.111</v>
          </cell>
          <cell r="D426" t="str">
            <v>L¾p chi tiÕt trªn cét ®· dùng</v>
          </cell>
          <cell r="E426" t="str">
            <v>Bé</v>
          </cell>
          <cell r="F426">
            <v>1</v>
          </cell>
          <cell r="I426">
            <v>10967</v>
          </cell>
          <cell r="L426">
            <v>10967</v>
          </cell>
        </row>
        <row r="427">
          <cell r="B427">
            <v>3</v>
          </cell>
          <cell r="C427" t="str">
            <v>02.1352</v>
          </cell>
          <cell r="D427" t="str">
            <v xml:space="preserve">V/c thÐp </v>
          </cell>
          <cell r="E427" t="str">
            <v>TÊn</v>
          </cell>
          <cell r="F427">
            <v>4.5999999999999999E-3</v>
          </cell>
          <cell r="I427">
            <v>27757.71</v>
          </cell>
          <cell r="L427">
            <v>127.68546599999999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 val="MTO REV_2_ARMOR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GIAgoi1"/>
      <sheetName val="kh«ng GTGT"/>
      <sheetName val="b¶ngtÝnhgãi1"/>
      <sheetName val="B¶ngtænghîp"/>
      <sheetName val="PS"/>
      <sheetName val="TTgãi1"/>
      <sheetName val="ph©ngiao"/>
      <sheetName val="Ng.thu"/>
      <sheetName val="QT"/>
      <sheetName val="Sheet16"/>
      <sheetName val="Gia MBA (2)"/>
      <sheetName val="Gi¸ tñ bï"/>
      <sheetName val="Gia-NC"/>
      <sheetName val="Gia-TN"/>
      <sheetName val="Gia KH"/>
      <sheetName val="GiaVT"/>
      <sheetName val="GiaVT XDCB"/>
      <sheetName val="Gia MBA"/>
      <sheetName val="Cac HS hay SD"/>
      <sheetName val="00000000"/>
      <sheetName val="lc"/>
      <sheetName val="Sheet1"/>
      <sheetName val="VLLC"/>
      <sheetName val="dghn"/>
      <sheetName val="dongia (2)"/>
      <sheetName val="17-2-05"/>
      <sheetName val="5-5-05"/>
      <sheetName val="30-6-05"/>
      <sheetName val="30-9-05"/>
      <sheetName val="No CT"/>
      <sheetName val="30-11"/>
      <sheetName val="31-12"/>
      <sheetName val="CN20-1-06"/>
      <sheetName val="CN9-2-06"/>
      <sheetName val="Bo"/>
      <sheetName val="congno31-7-06"/>
      <sheetName val="31-8-06"/>
      <sheetName val="30-9-06"/>
      <sheetName val="10-06"/>
      <sheetName val="11-06"/>
      <sheetName val="12-06"/>
      <sheetName val="01-07"/>
      <sheetName val="02-07"/>
      <sheetName val="03-07"/>
      <sheetName val="04-07"/>
      <sheetName val="Phan bo T4-07"/>
      <sheetName val="T5-07"/>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10000000"/>
      <sheetName val="XL4Poppy"/>
      <sheetName val="XL4Test5"/>
      <sheetName val="KH-Q1,Q2,01"/>
      <sheetName val="template"/>
      <sheetName val="PNT-QUOT-#3"/>
      <sheetName val="Don gia"/>
      <sheetName val="TTDZ22"/>
      <sheetName val="CT_35"/>
      <sheetName val="CT_0_4KV"/>
      <sheetName val="gvl"/>
      <sheetName val="Tổng kê"/>
      <sheetName val="CT-35"/>
      <sheetName val="CT-0.4KV"/>
      <sheetName val="Chiet tinh dz22"/>
      <sheetName val="TK_Cto"/>
      <sheetName val="kh«ng_GTGT"/>
      <sheetName val="Ng_thu"/>
      <sheetName val="Gia_MBA_(2)"/>
      <sheetName val="Gi¸_tñ_bï"/>
      <sheetName val="Gia_KH"/>
      <sheetName val="GiaVT_XDCB"/>
      <sheetName val="Gia_MBA"/>
      <sheetName val="Cac_HS_hay_SD"/>
      <sheetName val="DGCT"/>
    </sheetNames>
    <sheetDataSet>
      <sheetData sheetId="0" refreshError="1">
        <row r="3">
          <cell r="B3" t="str">
            <v xml:space="preserve">§ång hå v«n+chuyÓn m¹ch </v>
          </cell>
          <cell r="C3" t="str">
            <v>bé</v>
          </cell>
          <cell r="D3">
            <v>0</v>
          </cell>
          <cell r="E3">
            <v>0</v>
          </cell>
          <cell r="F3" t="str">
            <v>Nhµ m¸y thiÕt bÞ ®o ®iÖn</v>
          </cell>
        </row>
        <row r="4">
          <cell r="B4" t="str">
            <v>§Çu cèt Ðp M/A-50</v>
          </cell>
          <cell r="C4" t="str">
            <v>c¸i</v>
          </cell>
          <cell r="D4">
            <v>18000</v>
          </cell>
          <cell r="E4">
            <v>1983.3115189641462</v>
          </cell>
          <cell r="F4" t="str">
            <v>Ngo¹i(óc)</v>
          </cell>
          <cell r="G4">
            <v>1210</v>
          </cell>
        </row>
        <row r="5">
          <cell r="B5" t="str">
            <v>§Çu cèt hµn d©y §CH-M16</v>
          </cell>
          <cell r="C5" t="str">
            <v>c¸i</v>
          </cell>
          <cell r="D5">
            <v>5000</v>
          </cell>
          <cell r="E5">
            <v>1983.3115189641462</v>
          </cell>
          <cell r="F5" t="str">
            <v>ViÖt nam</v>
          </cell>
          <cell r="G5">
            <v>1210</v>
          </cell>
        </row>
        <row r="6">
          <cell r="B6" t="str">
            <v>§Çu cèt hµn d©y §CH-M25</v>
          </cell>
          <cell r="C6" t="str">
            <v>c¸i</v>
          </cell>
          <cell r="D6">
            <v>5500</v>
          </cell>
          <cell r="E6">
            <v>1983.3115189641462</v>
          </cell>
          <cell r="F6" t="str">
            <v>ViÖt nam</v>
          </cell>
          <cell r="G6">
            <v>1210</v>
          </cell>
        </row>
        <row r="7">
          <cell r="B7" t="str">
            <v>§Çu cèt hµn d©y §CH-M35</v>
          </cell>
          <cell r="C7" t="str">
            <v>c¸i</v>
          </cell>
          <cell r="D7">
            <v>6000</v>
          </cell>
          <cell r="E7">
            <v>1983.3115189641462</v>
          </cell>
          <cell r="F7" t="str">
            <v>ViÖt nam</v>
          </cell>
          <cell r="G7">
            <v>1210</v>
          </cell>
        </row>
        <row r="8">
          <cell r="B8" t="str">
            <v>§Çu cèt hµn d©y §CH-M70</v>
          </cell>
          <cell r="C8" t="str">
            <v>c¸i</v>
          </cell>
          <cell r="D8">
            <v>7000</v>
          </cell>
          <cell r="E8">
            <v>1983.3115189641462</v>
          </cell>
          <cell r="F8" t="str">
            <v>ViÖt nam</v>
          </cell>
          <cell r="G8">
            <v>1210</v>
          </cell>
        </row>
        <row r="9">
          <cell r="B9" t="str">
            <v>§Çu cèt van bãp §CB-F8</v>
          </cell>
          <cell r="C9" t="str">
            <v>c¸i</v>
          </cell>
          <cell r="D9">
            <v>12000</v>
          </cell>
          <cell r="E9">
            <v>1983.3115189641462</v>
          </cell>
          <cell r="F9" t="str">
            <v>ViÖt nam</v>
          </cell>
          <cell r="G9">
            <v>1210</v>
          </cell>
        </row>
        <row r="10">
          <cell r="B10" t="str">
            <v>§èng hå ®o ®iÖn</v>
          </cell>
          <cell r="C10" t="str">
            <v>c¸i</v>
          </cell>
          <cell r="D10">
            <v>0</v>
          </cell>
          <cell r="E10">
            <v>0</v>
          </cell>
          <cell r="F10" t="str">
            <v>Nhµ m¸y thiÕt bÞ ®o ®iÖn</v>
          </cell>
        </row>
        <row r="11">
          <cell r="B11" t="str">
            <v>ATM nh¸nh 100A</v>
          </cell>
          <cell r="C11" t="str">
            <v>c¸i</v>
          </cell>
          <cell r="D11">
            <v>0</v>
          </cell>
          <cell r="E11">
            <v>0</v>
          </cell>
          <cell r="F11" t="str">
            <v>Liªn x«</v>
          </cell>
        </row>
        <row r="12">
          <cell r="B12" t="str">
            <v>ATM nh¸nh 75A</v>
          </cell>
          <cell r="C12" t="str">
            <v>c¸i</v>
          </cell>
          <cell r="D12">
            <v>0</v>
          </cell>
          <cell r="E12">
            <v>0</v>
          </cell>
          <cell r="F12" t="str">
            <v>Liªn x«</v>
          </cell>
        </row>
        <row r="13">
          <cell r="B13" t="str">
            <v>ATM tæng 100A</v>
          </cell>
          <cell r="C13" t="str">
            <v>c¸i</v>
          </cell>
          <cell r="D13">
            <v>0</v>
          </cell>
          <cell r="E13">
            <v>0</v>
          </cell>
          <cell r="F13" t="str">
            <v>Liªn x«</v>
          </cell>
        </row>
        <row r="14">
          <cell r="B14" t="str">
            <v>ATM tæng 200A</v>
          </cell>
          <cell r="C14" t="str">
            <v>c¸i</v>
          </cell>
          <cell r="D14">
            <v>0</v>
          </cell>
          <cell r="E14">
            <v>0</v>
          </cell>
          <cell r="F14" t="str">
            <v>Liªn x«</v>
          </cell>
        </row>
        <row r="15">
          <cell r="B15" t="str">
            <v>B¨ng dÝnh c¸ch ®iÖn PVC-500</v>
          </cell>
          <cell r="C15" t="str">
            <v>cuén</v>
          </cell>
          <cell r="D15">
            <v>5000</v>
          </cell>
          <cell r="E15">
            <v>0</v>
          </cell>
          <cell r="F15" t="str">
            <v>ViÖt nam</v>
          </cell>
        </row>
        <row r="16">
          <cell r="B16" t="str">
            <v>B¨ng nh«m</v>
          </cell>
          <cell r="C16" t="str">
            <v>kg</v>
          </cell>
          <cell r="D16">
            <v>25000</v>
          </cell>
          <cell r="E16">
            <v>0</v>
          </cell>
          <cell r="F16" t="str">
            <v>ViÖt nam</v>
          </cell>
        </row>
        <row r="17">
          <cell r="B17" t="str">
            <v>BiÕn an toµn, s¬ ®å tªn tr¹m</v>
          </cell>
          <cell r="C17" t="str">
            <v>c¸i</v>
          </cell>
          <cell r="D17">
            <v>20000</v>
          </cell>
          <cell r="E17">
            <v>0</v>
          </cell>
          <cell r="F17" t="str">
            <v>Liÿn x«</v>
          </cell>
          <cell r="G17">
            <v>1210</v>
          </cell>
        </row>
        <row r="18">
          <cell r="B18" t="str">
            <v>C¸p ®ång bäc PVC 4 lâi M-3x25+1x16</v>
          </cell>
          <cell r="C18" t="str">
            <v>m</v>
          </cell>
          <cell r="D18">
            <v>42000</v>
          </cell>
          <cell r="E18">
            <v>2680.4022405522014</v>
          </cell>
          <cell r="F18" t="str">
            <v>ViÖt nam  tiªu chuÈn IEC</v>
          </cell>
        </row>
        <row r="19">
          <cell r="B19" t="str">
            <v>C¸p ®ång bäc PVC 4 lâi M-3x35+1x16</v>
          </cell>
          <cell r="C19" t="str">
            <v>m</v>
          </cell>
          <cell r="D19">
            <v>72000</v>
          </cell>
          <cell r="E19">
            <v>2680.4022405522014</v>
          </cell>
          <cell r="F19" t="str">
            <v>ViÖt nam  tiªu chuÈn IEC</v>
          </cell>
        </row>
        <row r="20">
          <cell r="B20" t="str">
            <v>C¸p ®ång bäc PVC 4 lâi M-3x70+1x35</v>
          </cell>
          <cell r="C20" t="str">
            <v>m</v>
          </cell>
          <cell r="D20">
            <v>120000</v>
          </cell>
          <cell r="E20">
            <v>2680.4022405522014</v>
          </cell>
          <cell r="F20" t="str">
            <v>ViÖt nam  tiªu chuÈn IEC</v>
          </cell>
        </row>
        <row r="21">
          <cell r="B21" t="str">
            <v>C¸p ®ång trÇn nhiÒu sîi M-95</v>
          </cell>
          <cell r="C21" t="str">
            <v>m</v>
          </cell>
          <cell r="D21">
            <v>34000</v>
          </cell>
        </row>
        <row r="22">
          <cell r="B22" t="str">
            <v>C«liª sø ghÕ</v>
          </cell>
          <cell r="C22" t="str">
            <v>bé</v>
          </cell>
          <cell r="D22">
            <v>7600</v>
          </cell>
          <cell r="E22">
            <v>23016.092850297202</v>
          </cell>
          <cell r="F22" t="str">
            <v xml:space="preserve">ThÐp Th¸i nguyªn </v>
          </cell>
        </row>
        <row r="23">
          <cell r="B23" t="str">
            <v>C«ng b¶o vÖ vËt t­ hiÖn tr­êng</v>
          </cell>
          <cell r="C23" t="str">
            <v>c«ng</v>
          </cell>
          <cell r="D23">
            <v>0</v>
          </cell>
          <cell r="E23">
            <v>13448.545963881706</v>
          </cell>
        </row>
        <row r="24">
          <cell r="B24" t="str">
            <v>C«ng t¬ 3 pha h÷u c«ng</v>
          </cell>
          <cell r="C24" t="str">
            <v>c¸i</v>
          </cell>
          <cell r="D24">
            <v>0</v>
          </cell>
          <cell r="E24">
            <v>0</v>
          </cell>
          <cell r="F24" t="str">
            <v>Nhµ m¸y thiÕt bÞ ®o ®iÖn</v>
          </cell>
        </row>
        <row r="25">
          <cell r="B25" t="str">
            <v>Cæ dÒ nÐo d©y cét ®¬n CND-2</v>
          </cell>
          <cell r="C25" t="str">
            <v>bé</v>
          </cell>
          <cell r="D25">
            <v>119260</v>
          </cell>
          <cell r="E25">
            <v>17809.176109691216</v>
          </cell>
          <cell r="F25" t="str">
            <v xml:space="preserve">ThÐp Th¸i nguyªn </v>
          </cell>
        </row>
        <row r="26">
          <cell r="B26" t="str">
            <v>Cæ dÒ nÐo d©y cét kÐp CNDK(D)</v>
          </cell>
          <cell r="C26" t="str">
            <v>bé</v>
          </cell>
          <cell r="D26">
            <v>104930.99999999999</v>
          </cell>
          <cell r="E26">
            <v>17713.342829818412</v>
          </cell>
          <cell r="F26" t="str">
            <v xml:space="preserve">ThÐp Th¸i nguyªn </v>
          </cell>
        </row>
        <row r="27">
          <cell r="B27" t="str">
            <v>Cæ dÒ nÐo d©y cét kÐp CNDK(N)</v>
          </cell>
          <cell r="C27" t="str">
            <v>bé</v>
          </cell>
          <cell r="D27">
            <v>104930.99999999999</v>
          </cell>
          <cell r="E27">
            <v>17713.342829818412</v>
          </cell>
          <cell r="F27" t="str">
            <v xml:space="preserve">ThÐp Th¸i nguyªn </v>
          </cell>
        </row>
        <row r="28">
          <cell r="B28" t="str">
            <v>Cæ dÒ nÐo gãc CDG</v>
          </cell>
          <cell r="C28" t="str">
            <v>bé</v>
          </cell>
          <cell r="D28">
            <v>101460</v>
          </cell>
          <cell r="E28">
            <v>17690.128557054191</v>
          </cell>
          <cell r="F28" t="str">
            <v xml:space="preserve">ThÐp Th¸i nguyªn </v>
          </cell>
        </row>
        <row r="29">
          <cell r="B29" t="str">
            <v>CÆp c¸p ®ång nh«m Cu/A-35/95</v>
          </cell>
          <cell r="C29" t="str">
            <v>bé</v>
          </cell>
          <cell r="D29">
            <v>6500</v>
          </cell>
          <cell r="E29">
            <v>0</v>
          </cell>
          <cell r="F29" t="str">
            <v>Nhµ m¸y c¬ khÝ Yªn viªn</v>
          </cell>
        </row>
        <row r="30">
          <cell r="B30" t="str">
            <v>CÆp c¸p 3 bu l«ng cho d©y AC-50</v>
          </cell>
          <cell r="C30" t="str">
            <v>bé</v>
          </cell>
          <cell r="D30">
            <v>5500</v>
          </cell>
          <cell r="E30">
            <v>0</v>
          </cell>
          <cell r="F30" t="str">
            <v>Nhµ m¸y c¬ khÝ Yªn viªn</v>
          </cell>
        </row>
        <row r="31">
          <cell r="B31" t="str">
            <v>CÇu ch× tù r¬i SI-35</v>
          </cell>
          <cell r="C31" t="str">
            <v>bé</v>
          </cell>
          <cell r="D31">
            <v>2690000</v>
          </cell>
          <cell r="E31">
            <v>47601.958309065951</v>
          </cell>
          <cell r="F31" t="str">
            <v>Liªn doanh SKODA-VINA</v>
          </cell>
          <cell r="G31">
            <v>0</v>
          </cell>
          <cell r="H31">
            <v>30000</v>
          </cell>
        </row>
        <row r="32">
          <cell r="B32" t="str">
            <v>CÇu dao liªn ®éng 35kV CD-35/200A</v>
          </cell>
          <cell r="C32" t="str">
            <v>bé</v>
          </cell>
          <cell r="D32">
            <v>5600000</v>
          </cell>
          <cell r="E32">
            <v>122572.56079191838</v>
          </cell>
          <cell r="F32" t="str">
            <v>Liªn doanh SKODA-VINA</v>
          </cell>
          <cell r="G32">
            <v>0</v>
          </cell>
          <cell r="H32">
            <v>30000</v>
          </cell>
        </row>
        <row r="33">
          <cell r="B33" t="str">
            <v>Cét bª t«ng ly t©m LT-10B</v>
          </cell>
          <cell r="C33" t="str">
            <v>cét</v>
          </cell>
          <cell r="D33">
            <v>1174677</v>
          </cell>
          <cell r="E33">
            <v>147868.39158951858</v>
          </cell>
          <cell r="F33" t="str">
            <v>Cty ®iÖn lùc vµ Cty XD
n«ng nghiÖp vµ PTNT s¶n xuÊt</v>
          </cell>
        </row>
        <row r="34">
          <cell r="B34" t="str">
            <v>Cét bª t«ng ly t©m LT-12B</v>
          </cell>
          <cell r="C34" t="str">
            <v>cét</v>
          </cell>
          <cell r="D34">
            <v>1588477</v>
          </cell>
          <cell r="E34">
            <v>166890.25077695589</v>
          </cell>
          <cell r="F34" t="str">
            <v>Cty ®iÖn lùc vµ Cty XD
n«ng nghiÖp vµ PTNT s¶n xuÊt</v>
          </cell>
        </row>
        <row r="35">
          <cell r="B35" t="str">
            <v>Cét bª t«ng ly t©m LT-12C</v>
          </cell>
          <cell r="C35" t="str">
            <v>cét</v>
          </cell>
          <cell r="D35">
            <v>1816377</v>
          </cell>
          <cell r="E35">
            <v>166890.25077695589</v>
          </cell>
          <cell r="F35" t="str">
            <v>Cty ®iÖn lùc vµ Cty XD
n«ng nghiÖp vµ PTNT s¶n xuÊt</v>
          </cell>
        </row>
        <row r="36">
          <cell r="B36" t="str">
            <v>Cét bª t«ng ly t©m LT-14B</v>
          </cell>
          <cell r="C36" t="str">
            <v>cét</v>
          </cell>
          <cell r="D36">
            <v>3692262</v>
          </cell>
          <cell r="E36">
            <v>268653.72283424844</v>
          </cell>
          <cell r="F36" t="str">
            <v>Cty ®iÖn lùc vµ Cty XD
n«ng nghiÖp vµ PTNT s¶n xuÊt</v>
          </cell>
        </row>
        <row r="37">
          <cell r="B37" t="str">
            <v>Cét bª t«ng ly t©m LT-14C</v>
          </cell>
          <cell r="C37" t="str">
            <v>cét</v>
          </cell>
          <cell r="D37">
            <v>4245284</v>
          </cell>
          <cell r="E37">
            <v>211425.41321229746</v>
          </cell>
          <cell r="F37" t="str">
            <v>Cty ®iÖn lùc vµ Cty XD
n«ng nghiÖp vµ PTNT s¶n xuÊt</v>
          </cell>
        </row>
        <row r="38">
          <cell r="B38" t="str">
            <v>Cét bª t«ng ly t©m LT-16C</v>
          </cell>
          <cell r="C38" t="str">
            <v>cét</v>
          </cell>
          <cell r="D38">
            <v>4756284</v>
          </cell>
          <cell r="E38">
            <v>245581.07473760252</v>
          </cell>
          <cell r="F38" t="str">
            <v>Bª t«ng ChÌm-Bª t«ng ThÞnh liÖt</v>
          </cell>
        </row>
        <row r="39">
          <cell r="B39" t="str">
            <v>Chèng sÐt van h¹ thÕ</v>
          </cell>
          <cell r="C39" t="str">
            <v>c¸i</v>
          </cell>
          <cell r="D39">
            <v>0</v>
          </cell>
          <cell r="E39">
            <v>0</v>
          </cell>
          <cell r="F39" t="str">
            <v>Nhµ m¸y thiÕt bÞ ®o ®iÖn</v>
          </cell>
        </row>
        <row r="40">
          <cell r="B40" t="str">
            <v>Chuçi sø nÐo 4xPC-70§</v>
          </cell>
          <cell r="C40" t="str">
            <v>chuçi</v>
          </cell>
          <cell r="D40">
            <v>279800</v>
          </cell>
          <cell r="E40">
            <v>8559.2937288003759</v>
          </cell>
          <cell r="F40" t="str">
            <v>Sø: Liªn x« ; Phô kiÖn: ViÖt nam</v>
          </cell>
        </row>
        <row r="41">
          <cell r="B41" t="str">
            <v>D©y buéc</v>
          </cell>
          <cell r="C41" t="str">
            <v>kg</v>
          </cell>
          <cell r="D41">
            <v>25000</v>
          </cell>
        </row>
        <row r="42">
          <cell r="B42" t="str">
            <v>D©y dÉn nh«m AC-50</v>
          </cell>
          <cell r="C42" t="str">
            <v>kg</v>
          </cell>
          <cell r="D42">
            <v>21200</v>
          </cell>
          <cell r="E42">
            <v>1598.3692733350056</v>
          </cell>
          <cell r="F42" t="str">
            <v xml:space="preserve"> C.Ty d©y vµ c¸p ®iÖn Th¨ng long
N.M¸y d©y c¸p ®iÖn-C.Ty VL ®iÖn </v>
          </cell>
        </row>
        <row r="43">
          <cell r="B43" t="str">
            <v>D©y nÐo F18 DN-14</v>
          </cell>
          <cell r="C43" t="str">
            <v>bé</v>
          </cell>
          <cell r="D43">
            <v>272675</v>
          </cell>
          <cell r="E43">
            <v>23016.092850297202</v>
          </cell>
          <cell r="F43" t="str">
            <v xml:space="preserve">ThÐp Th¸i nguyªn </v>
          </cell>
        </row>
        <row r="44">
          <cell r="B44" t="str">
            <v>D©y nÐo F18 DN-17</v>
          </cell>
          <cell r="C44" t="str">
            <v>bé</v>
          </cell>
          <cell r="D44">
            <v>311675</v>
          </cell>
          <cell r="E44">
            <v>23016.092850297202</v>
          </cell>
          <cell r="F44" t="str">
            <v xml:space="preserve">ThÐp Th¸i nguyªn </v>
          </cell>
        </row>
        <row r="45">
          <cell r="B45" t="str">
            <v>D©y nÐo F18 DN-19</v>
          </cell>
          <cell r="C45" t="str">
            <v>bé</v>
          </cell>
          <cell r="D45">
            <v>337675</v>
          </cell>
          <cell r="E45">
            <v>26108.353030043938</v>
          </cell>
          <cell r="F45" t="str">
            <v xml:space="preserve">ThÐp Th¸i nguyªn </v>
          </cell>
        </row>
        <row r="46">
          <cell r="B46" t="str">
            <v>DÎ lau</v>
          </cell>
          <cell r="C46" t="str">
            <v>kg</v>
          </cell>
          <cell r="D46">
            <v>5000</v>
          </cell>
        </row>
        <row r="47">
          <cell r="B47" t="str">
            <v>èng nèi d©y 450mm</v>
          </cell>
          <cell r="C47" t="str">
            <v>èng</v>
          </cell>
          <cell r="D47">
            <v>80000</v>
          </cell>
          <cell r="E47">
            <v>0</v>
          </cell>
          <cell r="F47" t="str">
            <v>Liªn x«</v>
          </cell>
        </row>
        <row r="48">
          <cell r="B48" t="str">
            <v>èng nèi lÌo 300mm</v>
          </cell>
          <cell r="C48" t="str">
            <v>èng</v>
          </cell>
          <cell r="D48">
            <v>70000</v>
          </cell>
          <cell r="E48">
            <v>0</v>
          </cell>
          <cell r="F48" t="str">
            <v>Liªn x«</v>
          </cell>
        </row>
        <row r="49">
          <cell r="B49" t="str">
            <v>èng nhùa cøng F21</v>
          </cell>
          <cell r="C49" t="str">
            <v>m</v>
          </cell>
          <cell r="D49">
            <v>2800</v>
          </cell>
          <cell r="E49">
            <v>0</v>
          </cell>
          <cell r="F49" t="str">
            <v>Nhùa TiÒn phong</v>
          </cell>
          <cell r="G49">
            <v>1210</v>
          </cell>
        </row>
        <row r="50">
          <cell r="B50" t="str">
            <v>GhÕ c¸ch ®iÖn 35kV</v>
          </cell>
          <cell r="C50" t="str">
            <v>qu¶</v>
          </cell>
          <cell r="D50">
            <v>914280</v>
          </cell>
          <cell r="E50">
            <v>37226.257737854336</v>
          </cell>
          <cell r="F50" t="str">
            <v xml:space="preserve">ThÐp Th¸i nguyªn </v>
          </cell>
        </row>
        <row r="51">
          <cell r="B51" t="str">
            <v>GhÕ c¸ch ®iÖn 35kV G§-2</v>
          </cell>
          <cell r="C51" t="str">
            <v>bé</v>
          </cell>
          <cell r="D51">
            <v>1104888</v>
          </cell>
          <cell r="E51">
            <v>37226.257737854336</v>
          </cell>
          <cell r="F51" t="str">
            <v xml:space="preserve">ThÐp Th¸i nguyªn </v>
          </cell>
        </row>
        <row r="52">
          <cell r="B52" t="str">
            <v>GhÕ thao t¸c tñ ®iÖn 0.4kV</v>
          </cell>
          <cell r="C52" t="str">
            <v>bé</v>
          </cell>
          <cell r="D52">
            <v>127680</v>
          </cell>
          <cell r="E52">
            <v>23016.092850297202</v>
          </cell>
          <cell r="F52" t="str">
            <v xml:space="preserve">ThÐp Th¸i nguyªn </v>
          </cell>
        </row>
        <row r="53">
          <cell r="B53" t="str">
            <v>GhÕ thÝ nghiÖm MBA</v>
          </cell>
          <cell r="C53" t="str">
            <v>bé</v>
          </cell>
          <cell r="D53">
            <v>141512</v>
          </cell>
          <cell r="E53">
            <v>23016.092850297202</v>
          </cell>
          <cell r="F53" t="str">
            <v xml:space="preserve">ThÐp Th¸i nguyªn </v>
          </cell>
          <cell r="G53">
            <v>0</v>
          </cell>
        </row>
        <row r="54">
          <cell r="B54" t="str">
            <v>GhÝp nh«m 3 bu l«ng A-50</v>
          </cell>
          <cell r="C54" t="str">
            <v>bé</v>
          </cell>
          <cell r="D54">
            <v>5500</v>
          </cell>
          <cell r="E54">
            <v>0</v>
          </cell>
          <cell r="F54" t="str">
            <v>Nhµ mµy c¬ khÝ Yªn viªn</v>
          </cell>
        </row>
        <row r="55">
          <cell r="B55" t="str">
            <v>Gi¸ ®ì m¸y biÕn ¸p</v>
          </cell>
          <cell r="C55" t="str">
            <v>bé</v>
          </cell>
          <cell r="D55">
            <v>1861772</v>
          </cell>
          <cell r="E55">
            <v>68247.880659615606</v>
          </cell>
          <cell r="F55" t="str">
            <v xml:space="preserve">ThÐp Th¸i nguyªn </v>
          </cell>
        </row>
        <row r="56">
          <cell r="B56" t="str">
            <v>Gi¸ ®ì tñ</v>
          </cell>
          <cell r="C56" t="str">
            <v>bé</v>
          </cell>
          <cell r="D56">
            <v>265550</v>
          </cell>
          <cell r="E56">
            <v>23016.092850297202</v>
          </cell>
          <cell r="F56" t="str">
            <v xml:space="preserve">ThÐp Th¸i nguyªn </v>
          </cell>
        </row>
        <row r="57">
          <cell r="B57" t="str">
            <v>Kho¸ Minh khai</v>
          </cell>
          <cell r="C57" t="str">
            <v>c¸i</v>
          </cell>
          <cell r="D57">
            <v>12500</v>
          </cell>
        </row>
        <row r="58">
          <cell r="B58" t="str">
            <v>Kho¸ nÐo HKK-1</v>
          </cell>
          <cell r="C58" t="str">
            <v>bé</v>
          </cell>
          <cell r="D58">
            <v>46000</v>
          </cell>
          <cell r="E58">
            <v>0</v>
          </cell>
          <cell r="F58" t="str">
            <v>Nhµ m¸y c¬ khÝ Yªn viªn</v>
          </cell>
        </row>
        <row r="59">
          <cell r="B59" t="str">
            <v>M¸y biÕn ¸p 100KVA</v>
          </cell>
          <cell r="C59" t="str">
            <v>m¸y</v>
          </cell>
          <cell r="D59">
            <v>33000000</v>
          </cell>
          <cell r="E59">
            <v>119994.53502583172</v>
          </cell>
          <cell r="F59" t="str">
            <v>Liªn doanh Takaoka-VINA</v>
          </cell>
          <cell r="G59">
            <v>0</v>
          </cell>
          <cell r="H59">
            <v>424000</v>
          </cell>
        </row>
        <row r="60">
          <cell r="B60" t="str">
            <v>M¸y biÕn ¸p 50KVA</v>
          </cell>
          <cell r="C60" t="str">
            <v>m¸y</v>
          </cell>
          <cell r="D60">
            <v>25000000</v>
          </cell>
          <cell r="E60">
            <v>98177.487853744504</v>
          </cell>
          <cell r="F60" t="str">
            <v>Liªn doanh Takaoka-VINA</v>
          </cell>
          <cell r="G60">
            <v>0</v>
          </cell>
          <cell r="H60">
            <v>424000</v>
          </cell>
        </row>
        <row r="61">
          <cell r="B61" t="str">
            <v>M¸y biÕn dßng</v>
          </cell>
          <cell r="C61" t="str">
            <v>c¸i</v>
          </cell>
          <cell r="D61">
            <v>0</v>
          </cell>
          <cell r="E61">
            <v>0</v>
          </cell>
          <cell r="F61" t="str">
            <v>Nhµ m¸y thiÕt bÞ ®o ®iÖn</v>
          </cell>
        </row>
        <row r="62">
          <cell r="B62" t="str">
            <v>Mãng cét MK8</v>
          </cell>
          <cell r="C62" t="str">
            <v>mãng</v>
          </cell>
          <cell r="D62">
            <v>1092372.473</v>
          </cell>
          <cell r="E62">
            <v>1024910.3519676777</v>
          </cell>
          <cell r="F62">
            <v>0</v>
          </cell>
        </row>
        <row r="63">
          <cell r="B63" t="str">
            <v>Mãng cét MT-3</v>
          </cell>
          <cell r="C63" t="str">
            <v>mãng</v>
          </cell>
          <cell r="D63">
            <v>506990.45100000006</v>
          </cell>
          <cell r="E63">
            <v>414813.62814909278</v>
          </cell>
        </row>
        <row r="64">
          <cell r="B64" t="str">
            <v>Mãng cét MT-4</v>
          </cell>
          <cell r="C64" t="str">
            <v>mãng</v>
          </cell>
          <cell r="D64">
            <v>582191.48699999996</v>
          </cell>
          <cell r="E64">
            <v>472422.01176804473</v>
          </cell>
        </row>
        <row r="65">
          <cell r="B65" t="str">
            <v>Mãng cét MT-6a</v>
          </cell>
          <cell r="C65" t="str">
            <v>mãng</v>
          </cell>
          <cell r="D65">
            <v>772906.78399999999</v>
          </cell>
          <cell r="E65">
            <v>752783.90746637899</v>
          </cell>
        </row>
        <row r="66">
          <cell r="B66" t="str">
            <v>Mãng nÐo b¶n MN-15-5</v>
          </cell>
          <cell r="C66" t="str">
            <v>mãng</v>
          </cell>
          <cell r="D66">
            <v>180062.76164000001</v>
          </cell>
          <cell r="E66">
            <v>175373.50293180568</v>
          </cell>
        </row>
        <row r="67">
          <cell r="B67" t="str">
            <v>Mì bét nh«m</v>
          </cell>
          <cell r="C67" t="str">
            <v>kg</v>
          </cell>
          <cell r="D67">
            <v>20000</v>
          </cell>
        </row>
        <row r="68">
          <cell r="B68" t="str">
            <v>Nhùa th«ng</v>
          </cell>
          <cell r="C68" t="str">
            <v>kg</v>
          </cell>
          <cell r="D68">
            <v>15000</v>
          </cell>
        </row>
        <row r="69">
          <cell r="B69" t="str">
            <v xml:space="preserve">Que hµn </v>
          </cell>
          <cell r="C69" t="str">
            <v>kg</v>
          </cell>
          <cell r="D69">
            <v>7500</v>
          </cell>
        </row>
        <row r="70">
          <cell r="B70" t="str">
            <v>S¬n ®en</v>
          </cell>
          <cell r="C70" t="str">
            <v>kg</v>
          </cell>
          <cell r="D70">
            <v>15000</v>
          </cell>
        </row>
        <row r="71">
          <cell r="B71" t="str">
            <v>S¬n xanh, vµng, ®á</v>
          </cell>
          <cell r="C71" t="str">
            <v>kg</v>
          </cell>
          <cell r="D71">
            <v>18500</v>
          </cell>
        </row>
        <row r="72">
          <cell r="B72" t="str">
            <v>Sè lÇn bÎ gãc</v>
          </cell>
          <cell r="C72" t="str">
            <v>VT</v>
          </cell>
          <cell r="D72">
            <v>0</v>
          </cell>
          <cell r="E72">
            <v>76087.436749749191</v>
          </cell>
        </row>
        <row r="73">
          <cell r="B73" t="str">
            <v>Sè lÇn v­ît ®­êng giao th«ng</v>
          </cell>
          <cell r="C73" t="str">
            <v>VT</v>
          </cell>
          <cell r="D73">
            <v>163975</v>
          </cell>
          <cell r="E73">
            <v>202393.63654225157</v>
          </cell>
        </row>
        <row r="74">
          <cell r="B74" t="str">
            <v>Sè lÇn v­ît s«ng suèi</v>
          </cell>
          <cell r="C74" t="str">
            <v>VT</v>
          </cell>
          <cell r="D74">
            <v>164625</v>
          </cell>
          <cell r="E74">
            <v>204486.14963397896</v>
          </cell>
        </row>
        <row r="75">
          <cell r="B75" t="str">
            <v>Sø ®øng 35kV c¶ ty VH§-35</v>
          </cell>
          <cell r="C75" t="str">
            <v>qu¶</v>
          </cell>
          <cell r="D75">
            <v>135000</v>
          </cell>
          <cell r="E75">
            <v>433.70397364490486</v>
          </cell>
          <cell r="F75" t="str">
            <v>Hoµng Liªn s¬n</v>
          </cell>
          <cell r="G75">
            <v>0</v>
          </cell>
          <cell r="H75">
            <v>5000</v>
          </cell>
        </row>
        <row r="76">
          <cell r="B76" t="str">
            <v>Tay ®ì d©y trung gian</v>
          </cell>
          <cell r="C76" t="str">
            <v>c¸i</v>
          </cell>
          <cell r="D76">
            <v>7600</v>
          </cell>
          <cell r="E76">
            <v>23016.092850297202</v>
          </cell>
          <cell r="F76" t="str">
            <v xml:space="preserve">ThÐp Th¸i nguyªn </v>
          </cell>
        </row>
        <row r="77">
          <cell r="B77" t="str">
            <v>Thang trÌo</v>
          </cell>
          <cell r="C77" t="str">
            <v>c¸i</v>
          </cell>
          <cell r="D77">
            <v>161963.655</v>
          </cell>
          <cell r="E77">
            <v>25183.411687748165</v>
          </cell>
          <cell r="F77" t="str">
            <v xml:space="preserve">ThÐp Th¸i nguyªn </v>
          </cell>
        </row>
        <row r="78">
          <cell r="B78" t="str">
            <v>Thang trÌo vµ gi¸ b¾t thang</v>
          </cell>
          <cell r="C78" t="str">
            <v>bé</v>
          </cell>
          <cell r="D78">
            <v>443688</v>
          </cell>
          <cell r="E78">
            <v>31021.622921761274</v>
          </cell>
          <cell r="F78" t="str">
            <v xml:space="preserve">ThÐp Th¸i nguyªn </v>
          </cell>
        </row>
        <row r="79">
          <cell r="B79" t="str">
            <v>Thanh dÉn ®ång MT-F8</v>
          </cell>
          <cell r="C79" t="str">
            <v>m</v>
          </cell>
          <cell r="D79">
            <v>15500</v>
          </cell>
        </row>
        <row r="80">
          <cell r="B80" t="str">
            <v>ThiÕc hµn</v>
          </cell>
          <cell r="C80" t="str">
            <v>bé</v>
          </cell>
          <cell r="D80">
            <v>45000</v>
          </cell>
        </row>
        <row r="81">
          <cell r="B81" t="str">
            <v>Thu l«i sõng 35kV+gi¸ ®ì</v>
          </cell>
          <cell r="C81" t="str">
            <v>bé</v>
          </cell>
          <cell r="D81">
            <v>30400</v>
          </cell>
          <cell r="E81">
            <v>24317.204771231918</v>
          </cell>
          <cell r="F81">
            <v>0</v>
          </cell>
          <cell r="G81">
            <v>0</v>
          </cell>
          <cell r="H81">
            <v>50000</v>
          </cell>
        </row>
        <row r="82">
          <cell r="B82" t="str">
            <v>TiÕp ®Þa RC-2</v>
          </cell>
          <cell r="C82" t="str">
            <v>bé</v>
          </cell>
          <cell r="D82">
            <v>143632</v>
          </cell>
          <cell r="E82">
            <v>198311.60729674395</v>
          </cell>
          <cell r="F82">
            <v>0</v>
          </cell>
          <cell r="G82">
            <v>0</v>
          </cell>
          <cell r="H82">
            <v>30000</v>
          </cell>
        </row>
        <row r="83">
          <cell r="B83" t="str">
            <v>TiÕp ®Þa tr¹m</v>
          </cell>
          <cell r="C83" t="str">
            <v>bé</v>
          </cell>
          <cell r="D83">
            <v>817961</v>
          </cell>
          <cell r="E83">
            <v>518982.00632650801</v>
          </cell>
          <cell r="F83">
            <v>0</v>
          </cell>
          <cell r="G83">
            <v>0</v>
          </cell>
          <cell r="H83">
            <v>30000</v>
          </cell>
        </row>
        <row r="84">
          <cell r="B84" t="str">
            <v>Tñ ®iÖn 400V trän bé</v>
          </cell>
          <cell r="C84" t="str">
            <v>tñ</v>
          </cell>
          <cell r="D84">
            <v>4200000</v>
          </cell>
          <cell r="E84">
            <v>99168.678265615366</v>
          </cell>
          <cell r="F84">
            <v>0</v>
          </cell>
          <cell r="G84">
            <v>0</v>
          </cell>
          <cell r="H84">
            <v>249000</v>
          </cell>
        </row>
        <row r="85">
          <cell r="B85" t="str">
            <v>Tñ ®iÖn 400V trän bé-</v>
          </cell>
          <cell r="C85" t="str">
            <v>tñ</v>
          </cell>
          <cell r="D85">
            <v>3315000</v>
          </cell>
          <cell r="E85">
            <v>99168.678265615366</v>
          </cell>
          <cell r="F85">
            <v>0</v>
          </cell>
          <cell r="G85">
            <v>0</v>
          </cell>
          <cell r="H85">
            <v>249000</v>
          </cell>
        </row>
        <row r="86">
          <cell r="B86" t="str">
            <v>VËn chuyÓn d©y dÉn (c¶ ru l«)</v>
          </cell>
          <cell r="C86" t="str">
            <v>tÊn</v>
          </cell>
          <cell r="D86">
            <v>0</v>
          </cell>
          <cell r="E86">
            <v>54631.34420808818</v>
          </cell>
        </row>
        <row r="87">
          <cell r="B87" t="str">
            <v>VËn chuyÓn dông cô thi c«ng</v>
          </cell>
          <cell r="C87" t="str">
            <v>tÊn</v>
          </cell>
          <cell r="D87">
            <v>0</v>
          </cell>
          <cell r="E87">
            <v>48679.315586945311</v>
          </cell>
        </row>
        <row r="88">
          <cell r="B88" t="str">
            <v>VËn chuyÓn mãng nÐo MN15-5</v>
          </cell>
          <cell r="C88" t="str">
            <v>tÊn</v>
          </cell>
          <cell r="D88">
            <v>0</v>
          </cell>
          <cell r="E88">
            <v>49086.960094362621</v>
          </cell>
        </row>
        <row r="89">
          <cell r="B89" t="str">
            <v>VËn chuyÓn sø, phô kiÖn</v>
          </cell>
          <cell r="C89" t="str">
            <v>tÊn</v>
          </cell>
          <cell r="D89">
            <v>0</v>
          </cell>
          <cell r="E89">
            <v>72243.82059704994</v>
          </cell>
        </row>
        <row r="90">
          <cell r="B90" t="str">
            <v>VËn chuyÓn xµ, tiÕp ®Þa vµo vÞ trÝ</v>
          </cell>
          <cell r="C90" t="str">
            <v>tÊn</v>
          </cell>
          <cell r="D90">
            <v>0</v>
          </cell>
          <cell r="E90">
            <v>59523.776318512762</v>
          </cell>
        </row>
        <row r="91">
          <cell r="B91" t="str">
            <v>X¨ng</v>
          </cell>
          <cell r="C91" t="str">
            <v>kg</v>
          </cell>
          <cell r="D91">
            <v>5000</v>
          </cell>
        </row>
        <row r="92">
          <cell r="B92" t="str">
            <v>X¨ng A-83</v>
          </cell>
          <cell r="C92" t="str">
            <v>kg</v>
          </cell>
          <cell r="D92">
            <v>5000</v>
          </cell>
        </row>
        <row r="93">
          <cell r="B93" t="str">
            <v>Xµ ®ãn d©y+xµ thu l«i</v>
          </cell>
          <cell r="C93" t="str">
            <v>bé</v>
          </cell>
          <cell r="D93">
            <v>606176</v>
          </cell>
          <cell r="E93">
            <v>31021.622921761274</v>
          </cell>
          <cell r="F93" t="str">
            <v xml:space="preserve">ThÐp Th¸i nguyªn </v>
          </cell>
          <cell r="G93">
            <v>0</v>
          </cell>
        </row>
        <row r="94">
          <cell r="B94" t="str">
            <v>Xµ ®ì cÇu ch× tù r¬i</v>
          </cell>
          <cell r="C94" t="str">
            <v>bé</v>
          </cell>
          <cell r="D94">
            <v>375288</v>
          </cell>
          <cell r="E94">
            <v>23016.092850297202</v>
          </cell>
          <cell r="F94" t="str">
            <v xml:space="preserve">ThÐp Th¸i nguyªn </v>
          </cell>
        </row>
        <row r="95">
          <cell r="B95" t="str">
            <v>Xµ ®ì ghÕ c¸ch ®iÖn</v>
          </cell>
          <cell r="C95" t="str">
            <v>qu¶</v>
          </cell>
          <cell r="D95">
            <v>1306592</v>
          </cell>
          <cell r="E95">
            <v>68247.880659615606</v>
          </cell>
          <cell r="F95" t="str">
            <v xml:space="preserve">ThÐp Th¸i nguyªn </v>
          </cell>
        </row>
        <row r="96">
          <cell r="B96" t="str">
            <v>Xµ ®ì sø trung gian</v>
          </cell>
          <cell r="C96" t="str">
            <v>bé</v>
          </cell>
          <cell r="D96">
            <v>269420</v>
          </cell>
          <cell r="E96">
            <v>23016.092850297202</v>
          </cell>
          <cell r="F96" t="str">
            <v xml:space="preserve">ThÐp Th¸i nguyªn </v>
          </cell>
        </row>
        <row r="97">
          <cell r="B97" t="str">
            <v>Xµ ®ì th¼ng X§T-1L</v>
          </cell>
          <cell r="C97" t="str">
            <v>bé</v>
          </cell>
          <cell r="D97">
            <v>187872</v>
          </cell>
          <cell r="E97">
            <v>23016.092850297202</v>
          </cell>
          <cell r="F97" t="str">
            <v xml:space="preserve">ThÐp Th¸i nguyªn </v>
          </cell>
        </row>
        <row r="98">
          <cell r="B98" t="str">
            <v>Xµ ®ì v­ît X§V-1N</v>
          </cell>
          <cell r="C98" t="str">
            <v>bé</v>
          </cell>
          <cell r="D98">
            <v>1005480.0000000001</v>
          </cell>
          <cell r="E98">
            <v>37226.257737854336</v>
          </cell>
          <cell r="F98" t="str">
            <v xml:space="preserve">ThÐp Th¸i nguyªn </v>
          </cell>
        </row>
        <row r="99">
          <cell r="B99" t="str">
            <v>Xµ nÐo cuèi cã cÇu dao XND-2</v>
          </cell>
          <cell r="C99" t="str">
            <v>bé</v>
          </cell>
          <cell r="D99">
            <v>1199888</v>
          </cell>
          <cell r="E99">
            <v>68247.880659615606</v>
          </cell>
          <cell r="F99" t="str">
            <v xml:space="preserve">ThÐp Th¸i nguyªn </v>
          </cell>
        </row>
        <row r="100">
          <cell r="B100" t="str">
            <v>Xµ nÐo XN1-2§</v>
          </cell>
          <cell r="C100" t="str">
            <v>bé</v>
          </cell>
          <cell r="D100">
            <v>687420</v>
          </cell>
          <cell r="E100">
            <v>41229.798352938378</v>
          </cell>
          <cell r="F100" t="str">
            <v xml:space="preserve">ThÐp Th¸i nguyªn </v>
          </cell>
        </row>
        <row r="101">
          <cell r="B101" t="str">
            <v>Xµ nÐo XN1-2K(D)</v>
          </cell>
          <cell r="C101" t="str">
            <v>bé</v>
          </cell>
          <cell r="D101">
            <v>828400</v>
          </cell>
          <cell r="E101">
            <v>49435.427897221452</v>
          </cell>
          <cell r="F101" t="str">
            <v xml:space="preserve">ThÐp Th¸i nguyªn </v>
          </cell>
        </row>
        <row r="102">
          <cell r="B102" t="str">
            <v>Xµ nÐo XN1-2K(N)</v>
          </cell>
          <cell r="C102" t="str">
            <v>bé</v>
          </cell>
          <cell r="D102">
            <v>624872</v>
          </cell>
          <cell r="E102">
            <v>41229.798352938378</v>
          </cell>
          <cell r="F102" t="str">
            <v xml:space="preserve">ThÐp Th¸i nguyªn </v>
          </cell>
        </row>
        <row r="103">
          <cell r="B103" t="str">
            <v>Xµ nÐo XN1-2L</v>
          </cell>
          <cell r="C103" t="str">
            <v>bé</v>
          </cell>
          <cell r="D103">
            <v>596524</v>
          </cell>
          <cell r="E103">
            <v>41229.798352938378</v>
          </cell>
          <cell r="F103" t="str">
            <v xml:space="preserve">ThÐp Th¸i nguyªn </v>
          </cell>
        </row>
        <row r="104">
          <cell r="B104" t="str">
            <v>Xµ nÐo XN2-5L</v>
          </cell>
          <cell r="C104" t="str">
            <v>bé</v>
          </cell>
          <cell r="D104">
            <v>952280</v>
          </cell>
          <cell r="E104">
            <v>49435.427897221452</v>
          </cell>
          <cell r="F104" t="str">
            <v xml:space="preserve">ThÐp Th¸i nguyªn </v>
          </cell>
        </row>
        <row r="105">
          <cell r="B105" t="str">
            <v>Xµ nÐo XN2-6L</v>
          </cell>
          <cell r="C105" t="str">
            <v>bé</v>
          </cell>
          <cell r="D105">
            <v>1243284</v>
          </cell>
          <cell r="E105">
            <v>68247.880659615606</v>
          </cell>
          <cell r="F105" t="str">
            <v xml:space="preserve">ThÐp Th¸i nguyªn </v>
          </cell>
        </row>
        <row r="106">
          <cell r="B106" t="str">
            <v>Xµ rÏ nh¸nh XR-3§</v>
          </cell>
          <cell r="C106" t="str">
            <v>bé</v>
          </cell>
          <cell r="D106">
            <v>186580</v>
          </cell>
          <cell r="E106">
            <v>23016.092850297202</v>
          </cell>
          <cell r="F106" t="str">
            <v xml:space="preserve">ThÐp Th¸i nguyªn </v>
          </cell>
        </row>
        <row r="107">
          <cell r="B107" t="str">
            <v>Bª t«ng chÌn M200</v>
          </cell>
          <cell r="C107">
            <v>0</v>
          </cell>
          <cell r="D107">
            <v>299866.7</v>
          </cell>
          <cell r="E107">
            <v>70605.606213080784</v>
          </cell>
        </row>
        <row r="108">
          <cell r="B108" t="str">
            <v>Bª t«ng M150</v>
          </cell>
          <cell r="C108">
            <v>0</v>
          </cell>
          <cell r="D108">
            <v>226052.9</v>
          </cell>
          <cell r="E108">
            <v>72619.018974949664</v>
          </cell>
        </row>
        <row r="109">
          <cell r="B109" t="str">
            <v>Bª t«ng M50</v>
          </cell>
          <cell r="C109">
            <v>0</v>
          </cell>
          <cell r="D109">
            <v>148966.79999999999</v>
          </cell>
          <cell r="E109">
            <v>37135.360613377925</v>
          </cell>
        </row>
        <row r="110">
          <cell r="B110" t="str">
            <v>Bª t«ng ®óc s½n M200</v>
          </cell>
          <cell r="C110">
            <v>0</v>
          </cell>
          <cell r="D110">
            <v>266225.67000000004</v>
          </cell>
          <cell r="E110">
            <v>72715.55184678745</v>
          </cell>
        </row>
        <row r="111">
          <cell r="B111" t="str">
            <v>VËt liÖu dïng cho triÕt tÝnh</v>
          </cell>
        </row>
        <row r="112">
          <cell r="B112" t="str">
            <v>Xi m¨ng</v>
          </cell>
          <cell r="C112" t="str">
            <v>kg</v>
          </cell>
          <cell r="D112">
            <v>790</v>
          </cell>
        </row>
        <row r="113">
          <cell r="B113" t="str">
            <v>C¸t vµng</v>
          </cell>
          <cell r="C113" t="str">
            <v>m3</v>
          </cell>
          <cell r="D113">
            <v>10000</v>
          </cell>
        </row>
        <row r="114">
          <cell r="B114" t="str">
            <v>§¸ d¨m 4x6</v>
          </cell>
          <cell r="C114">
            <v>0</v>
          </cell>
          <cell r="D114">
            <v>25000</v>
          </cell>
        </row>
        <row r="115">
          <cell r="B115" t="str">
            <v>V/c Xi m¨ng</v>
          </cell>
          <cell r="C115" t="str">
            <v>tÊn</v>
          </cell>
          <cell r="D115">
            <v>0</v>
          </cell>
          <cell r="E115">
            <v>38486.806858678836</v>
          </cell>
        </row>
        <row r="116">
          <cell r="B116" t="str">
            <v>V/c c¸t vµng</v>
          </cell>
          <cell r="C116" t="str">
            <v>m3</v>
          </cell>
          <cell r="D116">
            <v>0</v>
          </cell>
          <cell r="E116">
            <v>34165.356267205229</v>
          </cell>
        </row>
        <row r="117">
          <cell r="B117" t="str">
            <v>V/c ®¸ d¨m</v>
          </cell>
          <cell r="C117" t="str">
            <v>m3</v>
          </cell>
          <cell r="D117">
            <v>0</v>
          </cell>
          <cell r="E117">
            <v>38650.143870212494</v>
          </cell>
        </row>
        <row r="118">
          <cell r="B118" t="str">
            <v>V/c n­íc</v>
          </cell>
          <cell r="C118" t="str">
            <v>m3</v>
          </cell>
          <cell r="D118">
            <v>0</v>
          </cell>
          <cell r="E118">
            <v>33105.061735070121</v>
          </cell>
        </row>
        <row r="119">
          <cell r="B119" t="str">
            <v>§¸ d¨m 1x2</v>
          </cell>
          <cell r="C119">
            <v>0</v>
          </cell>
          <cell r="D119">
            <v>37600</v>
          </cell>
        </row>
        <row r="120">
          <cell r="B120" t="str">
            <v>Gç kª</v>
          </cell>
          <cell r="C120">
            <v>0</v>
          </cell>
          <cell r="D120">
            <v>1350000</v>
          </cell>
        </row>
        <row r="121">
          <cell r="B121" t="str">
            <v>S¬n</v>
          </cell>
          <cell r="C121">
            <v>0</v>
          </cell>
          <cell r="D121">
            <v>18200</v>
          </cell>
        </row>
        <row r="122">
          <cell r="B122" t="str">
            <v>Gç cèp pha</v>
          </cell>
          <cell r="C122">
            <v>0</v>
          </cell>
          <cell r="D122">
            <v>1350000</v>
          </cell>
        </row>
        <row r="123">
          <cell r="B123" t="str">
            <v>V/c cèt thÐp</v>
          </cell>
          <cell r="C123">
            <v>0</v>
          </cell>
          <cell r="D123">
            <v>0</v>
          </cell>
          <cell r="E123">
            <v>59523.776318512762</v>
          </cell>
        </row>
        <row r="124">
          <cell r="B124" t="str">
            <v>§æ bª t«ng M50</v>
          </cell>
          <cell r="C124" t="str">
            <v>kg</v>
          </cell>
          <cell r="D124">
            <v>0</v>
          </cell>
          <cell r="E124">
            <v>38450.121955328686</v>
          </cell>
        </row>
        <row r="125">
          <cell r="B125" t="str">
            <v>§æ bª t«ng M150</v>
          </cell>
          <cell r="C125">
            <v>0</v>
          </cell>
          <cell r="D125">
            <v>0</v>
          </cell>
          <cell r="E125">
            <v>80005.66363611196</v>
          </cell>
        </row>
        <row r="126">
          <cell r="B126" t="str">
            <v>§æ bª t«ng M200</v>
          </cell>
          <cell r="C126" t="str">
            <v>kg</v>
          </cell>
          <cell r="D126">
            <v>0</v>
          </cell>
          <cell r="E126">
            <v>80005.66363611196</v>
          </cell>
        </row>
        <row r="127">
          <cell r="B127" t="str">
            <v>Gia c«ng ®Æt buéc cèt thÐp</v>
          </cell>
          <cell r="C127">
            <v>0</v>
          </cell>
          <cell r="D127">
            <v>0</v>
          </cell>
          <cell r="E127">
            <v>203.0776975307258</v>
          </cell>
        </row>
        <row r="128">
          <cell r="B128" t="str">
            <v xml:space="preserve">ThÐp lµm xµ </v>
          </cell>
          <cell r="C128" t="str">
            <v>VT</v>
          </cell>
          <cell r="D128">
            <v>7600</v>
          </cell>
          <cell r="E128">
            <v>0</v>
          </cell>
        </row>
        <row r="129">
          <cell r="B129" t="str">
            <v xml:space="preserve">ThÐp lµm ghÕ </v>
          </cell>
          <cell r="C129">
            <v>0</v>
          </cell>
          <cell r="D129">
            <v>7600</v>
          </cell>
        </row>
        <row r="130">
          <cell r="B130" t="str">
            <v>ThÐp lµm cæ dÒ</v>
          </cell>
          <cell r="C130">
            <v>0</v>
          </cell>
          <cell r="D130">
            <v>8900</v>
          </cell>
        </row>
        <row r="131">
          <cell r="B131" t="str">
            <v>ThÐp lµm d©y nÐo</v>
          </cell>
          <cell r="C131">
            <v>0</v>
          </cell>
          <cell r="D131">
            <v>6500</v>
          </cell>
        </row>
        <row r="132">
          <cell r="B132" t="str">
            <v>ThÐp ®Öm</v>
          </cell>
          <cell r="C132">
            <v>0</v>
          </cell>
          <cell r="D132">
            <v>4500</v>
          </cell>
        </row>
        <row r="133">
          <cell r="B133" t="str">
            <v>Cét LT12C</v>
          </cell>
          <cell r="C133">
            <v>0</v>
          </cell>
          <cell r="D133">
            <v>1796100</v>
          </cell>
        </row>
        <row r="134">
          <cell r="B134" t="str">
            <v>Cét LT12B</v>
          </cell>
          <cell r="C134">
            <v>0</v>
          </cell>
          <cell r="D134">
            <v>1568200</v>
          </cell>
        </row>
        <row r="135">
          <cell r="B135" t="str">
            <v>Cét LT16C</v>
          </cell>
          <cell r="C135">
            <v>0</v>
          </cell>
          <cell r="D135">
            <v>4746000</v>
          </cell>
        </row>
        <row r="136">
          <cell r="B136" t="str">
            <v>Cét LT10B</v>
          </cell>
          <cell r="C136">
            <v>0</v>
          </cell>
          <cell r="D136">
            <v>1154400</v>
          </cell>
        </row>
        <row r="137">
          <cell r="B137" t="str">
            <v>Cét LT14C</v>
          </cell>
          <cell r="C137">
            <v>0</v>
          </cell>
          <cell r="D137">
            <v>4235000</v>
          </cell>
        </row>
        <row r="138">
          <cell r="B138" t="str">
            <v>Cét LT14B</v>
          </cell>
          <cell r="C138">
            <v>0</v>
          </cell>
          <cell r="D138">
            <v>3677200</v>
          </cell>
        </row>
        <row r="139">
          <cell r="B139" t="str">
            <v>Dùng cét LT12m</v>
          </cell>
          <cell r="C139">
            <v>0</v>
          </cell>
          <cell r="D139">
            <v>0</v>
          </cell>
          <cell r="E139">
            <v>76087.436749749191</v>
          </cell>
        </row>
        <row r="140">
          <cell r="B140" t="str">
            <v>Dùng cét LT10m</v>
          </cell>
          <cell r="C140">
            <v>0</v>
          </cell>
          <cell r="D140">
            <v>0</v>
          </cell>
          <cell r="E140">
            <v>57065.57756231189</v>
          </cell>
        </row>
        <row r="141">
          <cell r="B141" t="str">
            <v>Dùng cét LT14m</v>
          </cell>
          <cell r="C141">
            <v>0</v>
          </cell>
          <cell r="D141">
            <v>0</v>
          </cell>
          <cell r="E141">
            <v>90354.99450935518</v>
          </cell>
        </row>
        <row r="142">
          <cell r="B142" t="str">
            <v>Dùng cét LT16m</v>
          </cell>
          <cell r="C142">
            <v>0</v>
          </cell>
          <cell r="D142">
            <v>0</v>
          </cell>
          <cell r="E142">
            <v>109376.85369679247</v>
          </cell>
        </row>
        <row r="143">
          <cell r="B143" t="str">
            <v>Nèi cét bª t«ng mÆt bÝch</v>
          </cell>
          <cell r="C143">
            <v>0</v>
          </cell>
          <cell r="D143">
            <v>0</v>
          </cell>
          <cell r="E143">
            <v>57228.309621950975</v>
          </cell>
        </row>
        <row r="144">
          <cell r="B144" t="str">
            <v>V/c cét</v>
          </cell>
          <cell r="C144">
            <v>0</v>
          </cell>
          <cell r="D144">
            <v>0</v>
          </cell>
          <cell r="E144">
            <v>75669.01168933892</v>
          </cell>
        </row>
        <row r="145">
          <cell r="B145" t="str">
            <v>ThÐp c¸c lo¹i</v>
          </cell>
          <cell r="C145">
            <v>0</v>
          </cell>
          <cell r="D145">
            <v>4700</v>
          </cell>
          <cell r="E145">
            <v>0</v>
          </cell>
        </row>
        <row r="146">
          <cell r="B146" t="str">
            <v>§Ço ®Êt cÊp II s©u 2m</v>
          </cell>
          <cell r="C146">
            <v>0</v>
          </cell>
          <cell r="D146">
            <v>0</v>
          </cell>
          <cell r="E146">
            <v>19401.893069922997</v>
          </cell>
        </row>
        <row r="147">
          <cell r="B147" t="str">
            <v>§Ço ®Êt cÊp II s©u 2m-</v>
          </cell>
          <cell r="C147">
            <v>0</v>
          </cell>
          <cell r="D147">
            <v>0</v>
          </cell>
          <cell r="E147">
            <v>28722.805722398796</v>
          </cell>
        </row>
        <row r="148">
          <cell r="B148" t="str">
            <v>§µo ®Êt tiÕp ®Þa</v>
          </cell>
          <cell r="C148">
            <v>0</v>
          </cell>
          <cell r="D148">
            <v>0</v>
          </cell>
          <cell r="E148">
            <v>39185.371181035713</v>
          </cell>
        </row>
        <row r="149">
          <cell r="B149" t="str">
            <v>LÊp ®Êt tiÕp ®Þa</v>
          </cell>
          <cell r="C149">
            <v>0</v>
          </cell>
          <cell r="D149">
            <v>0</v>
          </cell>
          <cell r="E149">
            <v>11793.459626688882</v>
          </cell>
        </row>
        <row r="150">
          <cell r="B150" t="str">
            <v xml:space="preserve">LÊp ®Êt </v>
          </cell>
          <cell r="C150">
            <v>0</v>
          </cell>
          <cell r="D150">
            <v>0</v>
          </cell>
          <cell r="E150">
            <v>12744.319912255143</v>
          </cell>
        </row>
        <row r="151">
          <cell r="B151" t="str">
            <v>§¾p ®Êt ch©n cét</v>
          </cell>
          <cell r="C151">
            <v>0</v>
          </cell>
          <cell r="D151">
            <v>0</v>
          </cell>
          <cell r="E151">
            <v>12744.319912255143</v>
          </cell>
        </row>
        <row r="152">
          <cell r="B152" t="str">
            <v>V/c cù ly 100m</v>
          </cell>
          <cell r="C152" t="str">
            <v>kg</v>
          </cell>
          <cell r="D152">
            <v>0</v>
          </cell>
          <cell r="E152">
            <v>59.523776318512759</v>
          </cell>
        </row>
        <row r="153">
          <cell r="B153" t="str">
            <v>L¾p xµ nÐo &gt;140kg</v>
          </cell>
          <cell r="C153">
            <v>0</v>
          </cell>
          <cell r="D153">
            <v>0</v>
          </cell>
          <cell r="E153">
            <v>68247.880659615606</v>
          </cell>
        </row>
        <row r="154">
          <cell r="B154" t="str">
            <v>L¾p xµ nÐo &lt;140kg</v>
          </cell>
          <cell r="C154">
            <v>0</v>
          </cell>
          <cell r="D154">
            <v>0</v>
          </cell>
          <cell r="E154">
            <v>49435.427897221452</v>
          </cell>
        </row>
        <row r="155">
          <cell r="B155" t="str">
            <v>L¾p xµ nÐo &lt;100kg</v>
          </cell>
          <cell r="C155" t="str">
            <v>bé</v>
          </cell>
          <cell r="D155">
            <v>104930.99999999999</v>
          </cell>
          <cell r="E155">
            <v>41229.798352938378</v>
          </cell>
          <cell r="F155" t="str">
            <v xml:space="preserve">ThÐp Th¸i nguyªn </v>
          </cell>
        </row>
        <row r="156">
          <cell r="B156" t="str">
            <v>L¾p xµ ®ì &lt;50kg</v>
          </cell>
          <cell r="C156">
            <v>0</v>
          </cell>
          <cell r="D156">
            <v>0</v>
          </cell>
          <cell r="E156">
            <v>23016.092850297202</v>
          </cell>
        </row>
        <row r="157">
          <cell r="B157" t="str">
            <v>L¾p xµ ®ì &lt;100kg</v>
          </cell>
          <cell r="C157">
            <v>0</v>
          </cell>
          <cell r="D157">
            <v>0</v>
          </cell>
          <cell r="E157">
            <v>31021.622921761274</v>
          </cell>
        </row>
        <row r="158">
          <cell r="B158" t="str">
            <v>L¾p xµ ®ì &lt;140kg</v>
          </cell>
          <cell r="C158">
            <v>0</v>
          </cell>
          <cell r="D158">
            <v>0</v>
          </cell>
          <cell r="E158">
            <v>37226.257737854336</v>
          </cell>
        </row>
        <row r="159">
          <cell r="B159" t="str">
            <v>G¹ch XM M75</v>
          </cell>
          <cell r="C159">
            <v>0</v>
          </cell>
          <cell r="D159">
            <v>244315.4</v>
          </cell>
          <cell r="E159">
            <v>28897.584499346169</v>
          </cell>
        </row>
        <row r="160">
          <cell r="B160" t="str">
            <v>L¾p ghÕ</v>
          </cell>
          <cell r="C160">
            <v>0</v>
          </cell>
          <cell r="D160">
            <v>0</v>
          </cell>
          <cell r="E160">
            <v>37226.257737854336</v>
          </cell>
        </row>
        <row r="161">
          <cell r="B161" t="str">
            <v>L¾p gi¸ ®ì MBA</v>
          </cell>
          <cell r="C161">
            <v>0</v>
          </cell>
          <cell r="D161">
            <v>0</v>
          </cell>
          <cell r="E161">
            <v>68247.880659615606</v>
          </cell>
        </row>
        <row r="162">
          <cell r="B162" t="str">
            <v>L¾p d©y nÐo</v>
          </cell>
          <cell r="C162">
            <v>0</v>
          </cell>
          <cell r="D162">
            <v>0</v>
          </cell>
          <cell r="E162">
            <v>23016.092850297202</v>
          </cell>
        </row>
        <row r="163">
          <cell r="B163" t="str">
            <v>L¾p cæ dÒ</v>
          </cell>
          <cell r="C163">
            <v>0</v>
          </cell>
          <cell r="D163">
            <v>0</v>
          </cell>
          <cell r="E163">
            <v>17011.557507023146</v>
          </cell>
        </row>
        <row r="164">
          <cell r="B164" t="str">
            <v>L¾p thu l«i sõng</v>
          </cell>
          <cell r="C164">
            <v>0</v>
          </cell>
          <cell r="D164">
            <v>0</v>
          </cell>
          <cell r="E164">
            <v>24317.204771231918</v>
          </cell>
        </row>
        <row r="165">
          <cell r="B165" t="str">
            <v>R¶i tiÕp ®Þa</v>
          </cell>
          <cell r="C165">
            <v>0</v>
          </cell>
          <cell r="D165">
            <v>0</v>
          </cell>
          <cell r="E165">
            <v>424.95543855421363</v>
          </cell>
        </row>
        <row r="166">
          <cell r="B166" t="str">
            <v>V/c tiÕp ®Þa</v>
          </cell>
          <cell r="C166">
            <v>0</v>
          </cell>
          <cell r="D166">
            <v>0</v>
          </cell>
          <cell r="E166">
            <v>59523.776318512762</v>
          </cell>
        </row>
        <row r="167">
          <cell r="B167" t="str">
            <v>L¾p mãng nÐo</v>
          </cell>
          <cell r="C167">
            <v>0</v>
          </cell>
          <cell r="D167">
            <v>0</v>
          </cell>
          <cell r="E167">
            <v>56659.654841056035</v>
          </cell>
        </row>
        <row r="168">
          <cell r="B168" t="str">
            <v>§óc s½n mãng nÐo</v>
          </cell>
          <cell r="C168">
            <v>0</v>
          </cell>
          <cell r="D168">
            <v>0</v>
          </cell>
          <cell r="E168">
            <v>80005.66363611196</v>
          </cell>
        </row>
        <row r="169">
          <cell r="B169" t="str">
            <v>Chi phÝ chung</v>
          </cell>
          <cell r="C169">
            <v>0</v>
          </cell>
          <cell r="D169">
            <v>0.68</v>
          </cell>
        </row>
        <row r="170">
          <cell r="B170" t="str">
            <v>L·i ®Þnh møc</v>
          </cell>
          <cell r="C170">
            <v>0</v>
          </cell>
          <cell r="D170">
            <v>6.5642379203734655E-2</v>
          </cell>
        </row>
        <row r="171">
          <cell r="B171" t="str">
            <v>LTP</v>
          </cell>
          <cell r="C171">
            <v>0</v>
          </cell>
          <cell r="D171">
            <v>0.03</v>
          </cell>
        </row>
        <row r="172">
          <cell r="B172" t="str">
            <v>V/c Cét 16,18m</v>
          </cell>
          <cell r="C172">
            <v>0</v>
          </cell>
          <cell r="D172">
            <v>280000</v>
          </cell>
        </row>
        <row r="173">
          <cell r="B173" t="str">
            <v>V/c Cét 10,12m</v>
          </cell>
          <cell r="C173">
            <v>0</v>
          </cell>
          <cell r="D173">
            <v>140000</v>
          </cell>
        </row>
        <row r="174">
          <cell r="B174" t="str">
            <v>M¸y c¾t uèn</v>
          </cell>
          <cell r="C174">
            <v>0</v>
          </cell>
          <cell r="D174">
            <v>0</v>
          </cell>
          <cell r="E174">
            <v>0</v>
          </cell>
          <cell r="F174">
            <v>0</v>
          </cell>
          <cell r="G174">
            <v>52795.600000000006</v>
          </cell>
        </row>
        <row r="175">
          <cell r="B175" t="str">
            <v>M¸y hµn</v>
          </cell>
          <cell r="C175">
            <v>0</v>
          </cell>
          <cell r="D175">
            <v>0</v>
          </cell>
          <cell r="E175">
            <v>0</v>
          </cell>
          <cell r="F175">
            <v>0</v>
          </cell>
          <cell r="G175">
            <v>103070.00000000001</v>
          </cell>
        </row>
        <row r="176">
          <cell r="B176" t="str">
            <v>§ãng cäc tiÕp ®Þa</v>
          </cell>
          <cell r="C176">
            <v>0</v>
          </cell>
          <cell r="D176">
            <v>0</v>
          </cell>
          <cell r="E176">
            <v>15464.897163241547</v>
          </cell>
        </row>
        <row r="177">
          <cell r="B177" t="str">
            <v>Mãc treo ch÷ U MT12</v>
          </cell>
          <cell r="C177">
            <v>0</v>
          </cell>
          <cell r="D177">
            <v>9000</v>
          </cell>
        </row>
        <row r="178">
          <cell r="B178" t="str">
            <v>Mãc treo ch÷ U MT6</v>
          </cell>
          <cell r="C178">
            <v>0</v>
          </cell>
          <cell r="D178">
            <v>7500</v>
          </cell>
        </row>
        <row r="179">
          <cell r="B179" t="str">
            <v>M¾t nèi l¾p r¸p</v>
          </cell>
          <cell r="C179">
            <v>0</v>
          </cell>
          <cell r="D179">
            <v>11000</v>
          </cell>
        </row>
        <row r="180">
          <cell r="B180" t="str">
            <v>Vßng treo ®Çu trßn</v>
          </cell>
          <cell r="C180">
            <v>0</v>
          </cell>
          <cell r="D180">
            <v>5300</v>
          </cell>
        </row>
        <row r="181">
          <cell r="B181" t="str">
            <v>M¾t nèi kÐp</v>
          </cell>
          <cell r="C181">
            <v>0</v>
          </cell>
          <cell r="D181">
            <v>8000</v>
          </cell>
        </row>
        <row r="182">
          <cell r="B182" t="str">
            <v>M¾t nèi trung gian</v>
          </cell>
          <cell r="C182">
            <v>0</v>
          </cell>
          <cell r="D182">
            <v>8500</v>
          </cell>
        </row>
        <row r="183">
          <cell r="B183" t="str">
            <v>Sø PC-70</v>
          </cell>
          <cell r="C183">
            <v>0</v>
          </cell>
          <cell r="D183">
            <v>62000</v>
          </cell>
        </row>
        <row r="184">
          <cell r="B184" t="str">
            <v>Kho¸ nÐo d©y</v>
          </cell>
          <cell r="C184">
            <v>0</v>
          </cell>
          <cell r="D184">
            <v>46000</v>
          </cell>
        </row>
        <row r="185">
          <cell r="B185" t="str">
            <v>D©y ®ång M95</v>
          </cell>
          <cell r="C185">
            <v>0</v>
          </cell>
          <cell r="D185">
            <v>34000</v>
          </cell>
        </row>
        <row r="186">
          <cell r="B186" t="str">
            <v>HÖ sè KK</v>
          </cell>
          <cell r="C186">
            <v>0</v>
          </cell>
          <cell r="D186">
            <v>1.5</v>
          </cell>
        </row>
        <row r="187">
          <cell r="B187" t="str">
            <v>Hª sè NC</v>
          </cell>
          <cell r="C187">
            <v>0</v>
          </cell>
          <cell r="D187">
            <v>1.5511587040232648</v>
          </cell>
        </row>
        <row r="188">
          <cell r="B188" t="str">
            <v>hsvc</v>
          </cell>
          <cell r="C188">
            <v>0</v>
          </cell>
          <cell r="D188">
            <v>2.3267380560348974</v>
          </cell>
        </row>
        <row r="190">
          <cell r="B190" t="str">
            <v>L¾p chuçi sø</v>
          </cell>
          <cell r="C190">
            <v>0</v>
          </cell>
          <cell r="D190">
            <v>0</v>
          </cell>
          <cell r="E190">
            <v>8559.2937288003759</v>
          </cell>
        </row>
        <row r="191">
          <cell r="B191" t="str">
            <v>Mua c«ng t¬ 1 pha 220V-3ö9A</v>
          </cell>
          <cell r="C191" t="str">
            <v>c¸i</v>
          </cell>
          <cell r="D191">
            <v>97000</v>
          </cell>
          <cell r="E191">
            <v>0</v>
          </cell>
          <cell r="F191" t="str">
            <v>Nhµ m¸y thiÕt bÞ ®o ®iÖn</v>
          </cell>
        </row>
        <row r="192">
          <cell r="B192" t="str">
            <v>Chi phÝ thö nghiÖm</v>
          </cell>
          <cell r="C192" t="str">
            <v>c¸i</v>
          </cell>
          <cell r="D192">
            <v>8000</v>
          </cell>
          <cell r="E192">
            <v>0</v>
          </cell>
          <cell r="F192" t="str">
            <v>Thuª §iÖn lùc Thanh ho¸</v>
          </cell>
        </row>
        <row r="193">
          <cell r="B193" t="str">
            <v>Chi phÝ vËn chuyÓn</v>
          </cell>
          <cell r="C193" t="str">
            <v>c¸i</v>
          </cell>
          <cell r="D193">
            <v>2000</v>
          </cell>
        </row>
        <row r="194">
          <cell r="B194" t="str">
            <v>Chi phÝ l¾p ®Æt</v>
          </cell>
          <cell r="C194" t="str">
            <v>c¸i</v>
          </cell>
          <cell r="D194">
            <v>0</v>
          </cell>
          <cell r="E194">
            <v>5092.7642570491826</v>
          </cell>
        </row>
        <row r="196">
          <cell r="B196" t="str">
            <v>D©y AC-50</v>
          </cell>
          <cell r="C196">
            <v>0</v>
          </cell>
          <cell r="D196">
            <v>21200</v>
          </cell>
          <cell r="E196">
            <v>1559.6109361451875</v>
          </cell>
        </row>
        <row r="197">
          <cell r="B197" t="str">
            <v>V/c d©y</v>
          </cell>
          <cell r="C197">
            <v>0</v>
          </cell>
          <cell r="D197">
            <v>0</v>
          </cell>
          <cell r="E197">
            <v>38758.337189818107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Tinh"/>
      <sheetName val="Tonghop"/>
      <sheetName val="xa"/>
      <sheetName val="vc"/>
      <sheetName val="trong luong"/>
      <sheetName val="THC"/>
      <sheetName val="THQT"/>
      <sheetName val="Sheet1"/>
      <sheetName val="THC (2)"/>
      <sheetName val="XXXXXXXX"/>
      <sheetName val="XL4Poppy"/>
      <sheetName val="GiaVL"/>
      <sheetName val="trong_luong"/>
      <sheetName val="THC_(2)"/>
      <sheetName val="trong_luong1"/>
      <sheetName val="THC_(2)1"/>
      <sheetName val="trong_luong2"/>
      <sheetName val="THC_(2)2"/>
      <sheetName val="trong_luong3"/>
      <sheetName val="THC_(2)3"/>
      <sheetName val="VL,NC,MTC"/>
      <sheetName val="EIRR&gt;1&lt;1"/>
      <sheetName val="EIRR&gt; 2"/>
      <sheetName val="EIRR&lt;2"/>
      <sheetName val="Cp&gt;10-Ln&lt;10"/>
      <sheetName val="Ln&lt;20"/>
      <sheetName val="chiet tinh"/>
    </sheetNames>
    <sheetDataSet>
      <sheetData sheetId="0" refreshError="1">
        <row r="3">
          <cell r="A3" t="str">
            <v>tªn vïng</v>
          </cell>
          <cell r="B3" t="str">
            <v>m· 
hiÖu</v>
          </cell>
          <cell r="C3" t="str">
            <v>Tªn vËt t­</v>
          </cell>
          <cell r="D3" t="str">
            <v>®¬n
 vÞ</v>
          </cell>
          <cell r="E3" t="str">
            <v xml:space="preserve">khèi 
l­îng  </v>
          </cell>
          <cell r="F3" t="str">
            <v>hao
hôt</v>
          </cell>
          <cell r="G3" t="str">
            <v>§¬n gi¸</v>
          </cell>
          <cell r="I3" t="str">
            <v>hÖ 
sè</v>
          </cell>
          <cell r="J3" t="str">
            <v>Tæng</v>
          </cell>
        </row>
        <row r="4">
          <cell r="B4" t="str">
            <v>03.3101</v>
          </cell>
          <cell r="C4" t="str">
            <v xml:space="preserve">§µo ®Êt ch«n tiÕp ®Þa </v>
          </cell>
          <cell r="D4" t="str">
            <v>m3</v>
          </cell>
          <cell r="E4">
            <v>0.75</v>
          </cell>
          <cell r="G4" t="str">
            <v>VËt liÖu</v>
          </cell>
          <cell r="H4" t="str">
            <v>N.C«ng</v>
          </cell>
          <cell r="J4" t="str">
            <v>VËt liÖu</v>
          </cell>
          <cell r="K4" t="str">
            <v>N.C«ng</v>
          </cell>
          <cell r="L4" t="str">
            <v>MTC</v>
          </cell>
        </row>
        <row r="5">
          <cell r="C5" t="str">
            <v>I/ ®¬n gi¸ cho 1m3 bª t«ng</v>
          </cell>
        </row>
        <row r="6">
          <cell r="A6" t="str">
            <v>M50</v>
          </cell>
          <cell r="C6" t="str">
            <v>Bª t«ng lãt:  M-50:</v>
          </cell>
          <cell r="J6">
            <v>177741</v>
          </cell>
          <cell r="K6">
            <v>79409.602199999994</v>
          </cell>
        </row>
        <row r="7">
          <cell r="C7" t="str">
            <v>a/ VËt liÖu:</v>
          </cell>
        </row>
        <row r="8">
          <cell r="C8" t="str">
            <v>Xi m¨ng PCB30 BØm S¬n</v>
          </cell>
          <cell r="D8" t="str">
            <v>Kg</v>
          </cell>
          <cell r="E8">
            <v>168</v>
          </cell>
          <cell r="F8">
            <v>1</v>
          </cell>
          <cell r="G8">
            <v>657</v>
          </cell>
          <cell r="J8">
            <v>110376</v>
          </cell>
        </row>
        <row r="9">
          <cell r="C9" t="str">
            <v>C¸t vµng</v>
          </cell>
          <cell r="D9" t="str">
            <v>m3</v>
          </cell>
          <cell r="E9">
            <v>0.51200000000000001</v>
          </cell>
          <cell r="F9">
            <v>1</v>
          </cell>
          <cell r="G9">
            <v>35000</v>
          </cell>
          <cell r="J9">
            <v>17920</v>
          </cell>
        </row>
        <row r="10">
          <cell r="C10" t="str">
            <v>§¸ d¨m 4x6</v>
          </cell>
          <cell r="D10" t="str">
            <v>m3</v>
          </cell>
          <cell r="E10">
            <v>0.89900000000000002</v>
          </cell>
          <cell r="F10">
            <v>1</v>
          </cell>
          <cell r="G10">
            <v>55000</v>
          </cell>
          <cell r="J10">
            <v>49445</v>
          </cell>
        </row>
        <row r="11">
          <cell r="C11" t="str">
            <v>b/ Nh©n c«ng: Cù ly 300m</v>
          </cell>
        </row>
        <row r="12">
          <cell r="B12" t="str">
            <v>02.1212</v>
          </cell>
          <cell r="C12" t="str">
            <v xml:space="preserve">VËn chuyÓn xi m¨ng </v>
          </cell>
          <cell r="D12" t="str">
            <v>TÊn</v>
          </cell>
          <cell r="E12">
            <v>0.16800000000000001</v>
          </cell>
          <cell r="F12">
            <v>1</v>
          </cell>
          <cell r="H12">
            <v>23206.5</v>
          </cell>
          <cell r="I12">
            <v>1</v>
          </cell>
          <cell r="K12">
            <v>3898.6920000000005</v>
          </cell>
        </row>
        <row r="13">
          <cell r="B13" t="str">
            <v>02.1232</v>
          </cell>
          <cell r="C13" t="str">
            <v xml:space="preserve">VËn chuyÓn c¸t vµng </v>
          </cell>
          <cell r="D13" t="str">
            <v>m3</v>
          </cell>
          <cell r="E13">
            <v>0.51200000000000001</v>
          </cell>
          <cell r="F13">
            <v>1</v>
          </cell>
          <cell r="H13">
            <v>21499.399999999998</v>
          </cell>
          <cell r="I13">
            <v>1</v>
          </cell>
          <cell r="K13">
            <v>11007.692799999999</v>
          </cell>
        </row>
        <row r="14">
          <cell r="B14" t="str">
            <v>02.1242</v>
          </cell>
          <cell r="C14" t="str">
            <v xml:space="preserve">VËn chuyÓn ®¸ d¨m </v>
          </cell>
          <cell r="D14" t="str">
            <v>m3</v>
          </cell>
          <cell r="E14">
            <v>0.89900000000000002</v>
          </cell>
          <cell r="F14">
            <v>1</v>
          </cell>
          <cell r="H14">
            <v>23397.599999999999</v>
          </cell>
          <cell r="I14">
            <v>1</v>
          </cell>
          <cell r="K14">
            <v>21034.4424</v>
          </cell>
        </row>
        <row r="15">
          <cell r="B15" t="str">
            <v>02.1322</v>
          </cell>
          <cell r="C15" t="str">
            <v xml:space="preserve">VËn chuyÓn n­íc s¹ch </v>
          </cell>
          <cell r="D15" t="str">
            <v>m3</v>
          </cell>
          <cell r="E15">
            <v>0.17499999999999999</v>
          </cell>
          <cell r="F15">
            <v>1</v>
          </cell>
          <cell r="H15">
            <v>21353</v>
          </cell>
          <cell r="I15">
            <v>1</v>
          </cell>
          <cell r="K15">
            <v>3736.7749999999996</v>
          </cell>
        </row>
        <row r="16">
          <cell r="B16" t="str">
            <v>04.3101</v>
          </cell>
          <cell r="C16" t="str">
            <v xml:space="preserve">§æ bª t«ng lãt mãng </v>
          </cell>
          <cell r="D16" t="str">
            <v>m3</v>
          </cell>
          <cell r="E16">
            <v>1</v>
          </cell>
          <cell r="F16">
            <v>1</v>
          </cell>
          <cell r="H16">
            <v>39732</v>
          </cell>
          <cell r="I16">
            <v>1</v>
          </cell>
          <cell r="K16">
            <v>39732</v>
          </cell>
        </row>
        <row r="18">
          <cell r="A18" t="str">
            <v>M100</v>
          </cell>
          <cell r="C18" t="str">
            <v>Bª t«ng mãng:  M-100:</v>
          </cell>
          <cell r="J18">
            <v>200580</v>
          </cell>
          <cell r="K18">
            <v>84808.688300000009</v>
          </cell>
        </row>
        <row r="19">
          <cell r="C19" t="str">
            <v>a/ VËt liÖu:</v>
          </cell>
          <cell r="H19">
            <v>21499.399999999998</v>
          </cell>
          <cell r="I19">
            <v>1</v>
          </cell>
        </row>
        <row r="20">
          <cell r="C20" t="str">
            <v>Xi m¨ng PCB30 Hoµng th¹ch</v>
          </cell>
          <cell r="D20" t="str">
            <v>Kg</v>
          </cell>
          <cell r="E20">
            <v>205</v>
          </cell>
          <cell r="F20">
            <v>1</v>
          </cell>
          <cell r="G20">
            <v>657</v>
          </cell>
          <cell r="J20">
            <v>134685</v>
          </cell>
        </row>
        <row r="21">
          <cell r="C21" t="str">
            <v>C¸t vµng</v>
          </cell>
          <cell r="D21" t="str">
            <v>m3</v>
          </cell>
          <cell r="E21">
            <v>0.49199999999999999</v>
          </cell>
          <cell r="F21">
            <v>1</v>
          </cell>
          <cell r="G21">
            <v>35000</v>
          </cell>
          <cell r="J21">
            <v>17220</v>
          </cell>
        </row>
        <row r="22">
          <cell r="C22" t="str">
            <v>§¸ d¨m 4x6</v>
          </cell>
          <cell r="D22" t="str">
            <v>m3</v>
          </cell>
          <cell r="E22">
            <v>0.88500000000000001</v>
          </cell>
          <cell r="F22">
            <v>1</v>
          </cell>
          <cell r="G22">
            <v>55000</v>
          </cell>
          <cell r="J22">
            <v>48675</v>
          </cell>
        </row>
        <row r="23">
          <cell r="C23" t="str">
            <v>b/ Nh©n c«ng: Cù ly 300m</v>
          </cell>
        </row>
        <row r="24">
          <cell r="B24" t="str">
            <v>02.1212</v>
          </cell>
          <cell r="C24" t="str">
            <v xml:space="preserve">VËn chuyÓn xi m¨ng </v>
          </cell>
          <cell r="D24" t="str">
            <v>TÊn</v>
          </cell>
          <cell r="E24">
            <v>0.20499999999999999</v>
          </cell>
          <cell r="F24">
            <v>1</v>
          </cell>
          <cell r="H24">
            <v>23206.5</v>
          </cell>
          <cell r="I24">
            <v>1</v>
          </cell>
          <cell r="K24">
            <v>4757.3324999999995</v>
          </cell>
        </row>
        <row r="25">
          <cell r="B25" t="str">
            <v>02.1232</v>
          </cell>
          <cell r="C25" t="str">
            <v xml:space="preserve">VËn chuyÓn c¸t vµng </v>
          </cell>
          <cell r="D25" t="str">
            <v>m3</v>
          </cell>
          <cell r="E25">
            <v>0.49199999999999999</v>
          </cell>
          <cell r="F25">
            <v>1</v>
          </cell>
          <cell r="H25">
            <v>21499.399999999998</v>
          </cell>
          <cell r="I25">
            <v>1</v>
          </cell>
          <cell r="K25">
            <v>10577.7048</v>
          </cell>
        </row>
        <row r="26">
          <cell r="B26" t="str">
            <v>02.1242</v>
          </cell>
          <cell r="C26" t="str">
            <v xml:space="preserve">VËn chuyÓn ®¸ d¨m </v>
          </cell>
          <cell r="D26" t="str">
            <v>m3</v>
          </cell>
          <cell r="E26">
            <v>0.88500000000000001</v>
          </cell>
          <cell r="F26">
            <v>1</v>
          </cell>
          <cell r="H26">
            <v>23397.599999999999</v>
          </cell>
          <cell r="I26">
            <v>1</v>
          </cell>
          <cell r="K26">
            <v>20706.876</v>
          </cell>
        </row>
        <row r="27">
          <cell r="B27" t="str">
            <v>02.1322</v>
          </cell>
          <cell r="C27" t="str">
            <v xml:space="preserve">VËn chuyÓn n­íc s¹ch </v>
          </cell>
          <cell r="D27" t="str">
            <v>m3</v>
          </cell>
          <cell r="E27">
            <v>0.17499999999999999</v>
          </cell>
          <cell r="F27">
            <v>1</v>
          </cell>
          <cell r="H27">
            <v>21353</v>
          </cell>
          <cell r="I27">
            <v>1</v>
          </cell>
          <cell r="K27">
            <v>3736.7749999999996</v>
          </cell>
        </row>
        <row r="28">
          <cell r="B28" t="str">
            <v>04.3311</v>
          </cell>
          <cell r="C28" t="str">
            <v xml:space="preserve">§æ bª t«ng mãng trô </v>
          </cell>
          <cell r="D28" t="str">
            <v>m3</v>
          </cell>
          <cell r="E28">
            <v>1</v>
          </cell>
          <cell r="F28">
            <v>1</v>
          </cell>
          <cell r="H28">
            <v>45030</v>
          </cell>
          <cell r="I28">
            <v>1</v>
          </cell>
          <cell r="K28">
            <v>45030</v>
          </cell>
        </row>
        <row r="30">
          <cell r="A30" t="str">
            <v>M150</v>
          </cell>
          <cell r="C30" t="str">
            <v xml:space="preserve"> Bª t«ng ®æ mãng:   M-150:</v>
          </cell>
          <cell r="J30">
            <v>247131</v>
          </cell>
          <cell r="K30">
            <v>85750.902999999991</v>
          </cell>
        </row>
        <row r="31">
          <cell r="C31" t="str">
            <v>a/ VËt liÖu:</v>
          </cell>
        </row>
        <row r="32">
          <cell r="A32" t="str">
            <v>M150</v>
          </cell>
          <cell r="C32" t="str">
            <v>Xi m¨ng P30 Hoµng th¹ch</v>
          </cell>
          <cell r="D32" t="str">
            <v>Kg</v>
          </cell>
          <cell r="E32">
            <v>278</v>
          </cell>
          <cell r="F32" t="str">
            <v>1,00</v>
          </cell>
          <cell r="G32">
            <v>657</v>
          </cell>
          <cell r="J32">
            <v>182646</v>
          </cell>
        </row>
        <row r="33">
          <cell r="C33" t="str">
            <v>C¸t vµng</v>
          </cell>
          <cell r="D33" t="str">
            <v>m3</v>
          </cell>
          <cell r="E33">
            <v>0.46899999999999997</v>
          </cell>
          <cell r="F33" t="str">
            <v>1,00</v>
          </cell>
          <cell r="G33">
            <v>35000</v>
          </cell>
          <cell r="J33">
            <v>16415</v>
          </cell>
        </row>
        <row r="34">
          <cell r="C34" t="str">
            <v>§¸ d¨m 4x6</v>
          </cell>
          <cell r="D34" t="str">
            <v>m3</v>
          </cell>
          <cell r="E34">
            <v>0.874</v>
          </cell>
          <cell r="F34" t="str">
            <v>1,00</v>
          </cell>
          <cell r="G34">
            <v>55000</v>
          </cell>
          <cell r="J34">
            <v>48070</v>
          </cell>
        </row>
        <row r="35">
          <cell r="C35" t="str">
            <v>N­íc</v>
          </cell>
          <cell r="D35" t="str">
            <v>m3</v>
          </cell>
          <cell r="E35">
            <v>0.185</v>
          </cell>
          <cell r="F35">
            <v>1</v>
          </cell>
          <cell r="G35">
            <v>0</v>
          </cell>
          <cell r="J35">
            <v>0</v>
          </cell>
        </row>
        <row r="36">
          <cell r="C36" t="str">
            <v>b/ Nh©n c«ng : cù ly 300m</v>
          </cell>
        </row>
        <row r="37">
          <cell r="B37" t="str">
            <v>02.1212</v>
          </cell>
          <cell r="C37" t="str">
            <v xml:space="preserve">VËn chuyÓn xi m¨ng </v>
          </cell>
          <cell r="D37" t="str">
            <v>TÊn</v>
          </cell>
          <cell r="E37">
            <v>0.27800000000000002</v>
          </cell>
          <cell r="F37" t="str">
            <v>1,00</v>
          </cell>
          <cell r="H37">
            <v>23206.5</v>
          </cell>
          <cell r="I37">
            <v>1</v>
          </cell>
          <cell r="K37">
            <v>6451.4070000000002</v>
          </cell>
        </row>
        <row r="38">
          <cell r="B38" t="str">
            <v>02.1232</v>
          </cell>
          <cell r="C38" t="str">
            <v xml:space="preserve">VËn chuyÓn c¸t vµng </v>
          </cell>
          <cell r="D38" t="str">
            <v>m3</v>
          </cell>
          <cell r="E38">
            <v>0.46899999999999997</v>
          </cell>
          <cell r="F38" t="str">
            <v>1,00</v>
          </cell>
          <cell r="H38">
            <v>21499.399999999998</v>
          </cell>
          <cell r="I38">
            <v>1</v>
          </cell>
          <cell r="K38">
            <v>10083.218599999998</v>
          </cell>
        </row>
        <row r="39">
          <cell r="B39" t="str">
            <v>02.1242</v>
          </cell>
          <cell r="C39" t="str">
            <v xml:space="preserve">VËn chuyÓn ®¸ d¨m </v>
          </cell>
          <cell r="D39" t="str">
            <v>m3</v>
          </cell>
          <cell r="E39">
            <v>0.874</v>
          </cell>
          <cell r="F39" t="str">
            <v>1,00</v>
          </cell>
          <cell r="H39">
            <v>23397.599999999999</v>
          </cell>
          <cell r="I39">
            <v>1</v>
          </cell>
          <cell r="K39">
            <v>20449.502399999998</v>
          </cell>
        </row>
        <row r="40">
          <cell r="B40" t="str">
            <v>02.1322</v>
          </cell>
          <cell r="C40" t="str">
            <v xml:space="preserve">VËn chuyÓn n­íc s¹ch </v>
          </cell>
          <cell r="D40" t="str">
            <v>m3</v>
          </cell>
          <cell r="E40">
            <v>0.17499999999999999</v>
          </cell>
          <cell r="F40" t="str">
            <v>1,00</v>
          </cell>
          <cell r="H40">
            <v>21353</v>
          </cell>
          <cell r="I40">
            <v>1</v>
          </cell>
          <cell r="K40">
            <v>3736.7749999999996</v>
          </cell>
        </row>
        <row r="41">
          <cell r="B41" t="str">
            <v>04.3312</v>
          </cell>
          <cell r="C41" t="str">
            <v xml:space="preserve">§æ bª t«ng mãng trô </v>
          </cell>
          <cell r="D41" t="str">
            <v>m3</v>
          </cell>
          <cell r="E41">
            <v>1</v>
          </cell>
          <cell r="F41">
            <v>1</v>
          </cell>
          <cell r="H41">
            <v>45030</v>
          </cell>
          <cell r="I41">
            <v>1</v>
          </cell>
          <cell r="K41">
            <v>45030</v>
          </cell>
        </row>
        <row r="43">
          <cell r="A43" t="str">
            <v>MC200</v>
          </cell>
          <cell r="C43" t="str">
            <v xml:space="preserve"> Bª t«ng chÌn cét:  M-200:</v>
          </cell>
          <cell r="J43">
            <v>345779</v>
          </cell>
          <cell r="K43">
            <v>86449.991699999999</v>
          </cell>
        </row>
        <row r="44">
          <cell r="C44" t="str">
            <v>a/ VËt liÖu:</v>
          </cell>
        </row>
        <row r="45">
          <cell r="C45" t="str">
            <v>Xi m¨ng P30 Hoµng th¹ch</v>
          </cell>
          <cell r="D45" t="str">
            <v>Kg</v>
          </cell>
          <cell r="E45">
            <v>357</v>
          </cell>
          <cell r="F45" t="str">
            <v>1,00</v>
          </cell>
          <cell r="G45">
            <v>657</v>
          </cell>
          <cell r="J45">
            <v>234549</v>
          </cell>
        </row>
        <row r="46">
          <cell r="C46" t="str">
            <v>C¸t vµng</v>
          </cell>
          <cell r="D46" t="str">
            <v>m3</v>
          </cell>
          <cell r="E46">
            <v>0.441</v>
          </cell>
          <cell r="F46" t="str">
            <v>1,00</v>
          </cell>
          <cell r="G46">
            <v>35000</v>
          </cell>
          <cell r="J46">
            <v>15435</v>
          </cell>
        </row>
        <row r="47">
          <cell r="C47" t="str">
            <v>§¸ d¨m 1 x 2</v>
          </cell>
          <cell r="D47" t="str">
            <v>m3</v>
          </cell>
          <cell r="E47">
            <v>0.83299999999999996</v>
          </cell>
          <cell r="F47" t="str">
            <v>1,00</v>
          </cell>
          <cell r="G47">
            <v>115000</v>
          </cell>
          <cell r="J47">
            <v>95795</v>
          </cell>
        </row>
        <row r="48">
          <cell r="C48" t="str">
            <v>N­íc</v>
          </cell>
          <cell r="D48" t="str">
            <v>m3</v>
          </cell>
          <cell r="E48">
            <v>0.19500000000000001</v>
          </cell>
          <cell r="F48">
            <v>1</v>
          </cell>
          <cell r="G48">
            <v>0</v>
          </cell>
          <cell r="J48">
            <v>0</v>
          </cell>
        </row>
        <row r="49">
          <cell r="C49" t="str">
            <v>b/ Nh©n c«ng : cù ly 300m</v>
          </cell>
        </row>
        <row r="50">
          <cell r="B50" t="str">
            <v>02.1212</v>
          </cell>
          <cell r="C50" t="str">
            <v xml:space="preserve">VËn chuyÓn xi m¨ng </v>
          </cell>
          <cell r="D50" t="str">
            <v>TÊn</v>
          </cell>
          <cell r="E50">
            <v>0.35699999999999998</v>
          </cell>
          <cell r="F50" t="str">
            <v>1,00</v>
          </cell>
          <cell r="H50">
            <v>23206.5</v>
          </cell>
          <cell r="I50">
            <v>1</v>
          </cell>
          <cell r="K50">
            <v>8284.7204999999994</v>
          </cell>
        </row>
        <row r="51">
          <cell r="B51" t="str">
            <v>02.1232</v>
          </cell>
          <cell r="C51" t="str">
            <v xml:space="preserve">VËn chuyÓn c¸t vµng </v>
          </cell>
          <cell r="D51" t="str">
            <v>m3</v>
          </cell>
          <cell r="E51">
            <v>0.441</v>
          </cell>
          <cell r="F51" t="str">
            <v>1,00</v>
          </cell>
          <cell r="H51">
            <v>21499.399999999998</v>
          </cell>
          <cell r="I51">
            <v>1</v>
          </cell>
          <cell r="K51">
            <v>9481.2353999999996</v>
          </cell>
        </row>
        <row r="52">
          <cell r="B52" t="str">
            <v>02.1242</v>
          </cell>
          <cell r="C52" t="str">
            <v xml:space="preserve">VËn chuyÓn ®¸ d¨m </v>
          </cell>
          <cell r="D52" t="str">
            <v>m3</v>
          </cell>
          <cell r="E52">
            <v>0.83299999999999996</v>
          </cell>
          <cell r="F52" t="str">
            <v>1,00</v>
          </cell>
          <cell r="H52">
            <v>23397.599999999999</v>
          </cell>
          <cell r="I52">
            <v>1</v>
          </cell>
          <cell r="K52">
            <v>19490.200799999999</v>
          </cell>
        </row>
        <row r="53">
          <cell r="B53" t="str">
            <v>02.1322</v>
          </cell>
          <cell r="C53" t="str">
            <v xml:space="preserve">VËn chuyÓn n­íc s¹ch </v>
          </cell>
          <cell r="D53" t="str">
            <v>m3</v>
          </cell>
          <cell r="E53">
            <v>0.19500000000000001</v>
          </cell>
          <cell r="F53">
            <v>1</v>
          </cell>
          <cell r="H53">
            <v>21353</v>
          </cell>
          <cell r="I53">
            <v>1</v>
          </cell>
          <cell r="K53">
            <v>4163.835</v>
          </cell>
        </row>
        <row r="54">
          <cell r="B54" t="str">
            <v>04.3313</v>
          </cell>
          <cell r="C54" t="str">
            <v xml:space="preserve">§æ bª t«ng chÌn cét </v>
          </cell>
          <cell r="D54" t="str">
            <v>m3</v>
          </cell>
          <cell r="E54">
            <v>1</v>
          </cell>
          <cell r="F54">
            <v>1</v>
          </cell>
          <cell r="H54">
            <v>45030</v>
          </cell>
          <cell r="I54">
            <v>1</v>
          </cell>
          <cell r="K54">
            <v>45030</v>
          </cell>
        </row>
        <row r="56">
          <cell r="A56" t="str">
            <v>M§200</v>
          </cell>
          <cell r="C56" t="str">
            <v xml:space="preserve"> Bª t«ng ®óc s½n :  M-200:</v>
          </cell>
          <cell r="J56">
            <v>345779</v>
          </cell>
          <cell r="K56">
            <v>50328</v>
          </cell>
        </row>
        <row r="57">
          <cell r="C57" t="str">
            <v>a/ VËt liÖu:</v>
          </cell>
        </row>
        <row r="58">
          <cell r="C58" t="str">
            <v>Xi m¨ng P30 Hoµng th¹ch</v>
          </cell>
          <cell r="D58" t="str">
            <v>Kg</v>
          </cell>
          <cell r="E58">
            <v>357</v>
          </cell>
          <cell r="F58">
            <v>1</v>
          </cell>
          <cell r="G58">
            <v>657</v>
          </cell>
          <cell r="J58">
            <v>234549</v>
          </cell>
        </row>
        <row r="59">
          <cell r="C59" t="str">
            <v>C¸t vµng</v>
          </cell>
          <cell r="D59" t="str">
            <v>m3</v>
          </cell>
          <cell r="E59">
            <v>0.441</v>
          </cell>
          <cell r="F59" t="str">
            <v>1,00</v>
          </cell>
          <cell r="G59">
            <v>35000</v>
          </cell>
          <cell r="J59">
            <v>15435</v>
          </cell>
        </row>
        <row r="60">
          <cell r="C60" t="str">
            <v xml:space="preserve"> §¸ d¨m 1 x 2</v>
          </cell>
          <cell r="D60" t="str">
            <v>m3</v>
          </cell>
          <cell r="E60">
            <v>0.83299999999999996</v>
          </cell>
          <cell r="F60" t="str">
            <v>1,00</v>
          </cell>
          <cell r="G60">
            <v>115000</v>
          </cell>
          <cell r="J60">
            <v>95795</v>
          </cell>
        </row>
        <row r="61">
          <cell r="C61" t="str">
            <v>N­íc</v>
          </cell>
          <cell r="D61" t="str">
            <v>m3</v>
          </cell>
          <cell r="E61">
            <v>0.19500000000000001</v>
          </cell>
          <cell r="F61">
            <v>1</v>
          </cell>
          <cell r="G61">
            <v>0</v>
          </cell>
          <cell r="J61">
            <v>0</v>
          </cell>
        </row>
        <row r="62">
          <cell r="C62" t="str">
            <v>b/ Nh©n c«ng : cù ly 300m</v>
          </cell>
        </row>
        <row r="63">
          <cell r="B63" t="str">
            <v>04.3611</v>
          </cell>
          <cell r="C63" t="str">
            <v xml:space="preserve">§æ bª t«ng chÌn ®óc s½n  </v>
          </cell>
          <cell r="D63" t="str">
            <v>m3</v>
          </cell>
          <cell r="E63">
            <v>1</v>
          </cell>
          <cell r="F63">
            <v>1</v>
          </cell>
          <cell r="H63">
            <v>50328</v>
          </cell>
          <cell r="I63">
            <v>1</v>
          </cell>
          <cell r="K63">
            <v>50328</v>
          </cell>
        </row>
        <row r="64">
          <cell r="C64" t="str">
            <v>II/ ®¬n gi¸ c¸c lo¹i mãng</v>
          </cell>
        </row>
        <row r="65">
          <cell r="A65" t="str">
            <v>MT6</v>
          </cell>
          <cell r="C65" t="str">
            <v xml:space="preserve"> Mãng MT6</v>
          </cell>
          <cell r="J65">
            <v>870363.86199999996</v>
          </cell>
          <cell r="K65">
            <v>724590.09078039986</v>
          </cell>
          <cell r="L65">
            <v>234.78359999999998</v>
          </cell>
        </row>
        <row r="66">
          <cell r="C66" t="str">
            <v>a/ VËt liÖu:</v>
          </cell>
        </row>
        <row r="67">
          <cell r="C67" t="str">
            <v>S¾t F 8</v>
          </cell>
          <cell r="D67" t="str">
            <v>kg</v>
          </cell>
          <cell r="E67">
            <v>5</v>
          </cell>
          <cell r="F67" t="str">
            <v>1,02</v>
          </cell>
          <cell r="G67">
            <v>4625</v>
          </cell>
          <cell r="J67">
            <v>23587.5</v>
          </cell>
        </row>
        <row r="68">
          <cell r="C68" t="str">
            <v>S¾t F 10</v>
          </cell>
          <cell r="D68" t="str">
            <v>kg</v>
          </cell>
          <cell r="E68">
            <v>8.5399999999999991</v>
          </cell>
          <cell r="F68" t="str">
            <v>1,02</v>
          </cell>
          <cell r="G68">
            <v>4465</v>
          </cell>
          <cell r="J68">
            <v>38893.721999999994</v>
          </cell>
        </row>
        <row r="69">
          <cell r="C69" t="str">
            <v>Bª t«ng M200</v>
          </cell>
          <cell r="D69" t="str">
            <v>m3</v>
          </cell>
          <cell r="E69">
            <v>0.08</v>
          </cell>
          <cell r="F69" t="str">
            <v>1</v>
          </cell>
          <cell r="G69">
            <v>345779</v>
          </cell>
          <cell r="J69">
            <v>27662.32</v>
          </cell>
        </row>
        <row r="70">
          <cell r="C70" t="str">
            <v>Bª t«ng M150</v>
          </cell>
          <cell r="D70" t="str">
            <v>m3</v>
          </cell>
          <cell r="E70">
            <v>2.3199999999999998</v>
          </cell>
          <cell r="F70" t="str">
            <v>1</v>
          </cell>
          <cell r="G70">
            <v>247131</v>
          </cell>
          <cell r="J70">
            <v>573343.91999999993</v>
          </cell>
        </row>
        <row r="71">
          <cell r="C71" t="str">
            <v>Bª t«ng M50</v>
          </cell>
          <cell r="D71" t="str">
            <v>m3</v>
          </cell>
          <cell r="E71">
            <v>0.4</v>
          </cell>
          <cell r="F71" t="str">
            <v>1</v>
          </cell>
          <cell r="G71">
            <v>177741</v>
          </cell>
          <cell r="J71">
            <v>71096.400000000009</v>
          </cell>
        </row>
        <row r="72">
          <cell r="C72" t="str">
            <v>b/ VËt liÖu phô:</v>
          </cell>
          <cell r="J72">
            <v>135780</v>
          </cell>
          <cell r="K72">
            <v>6048.1</v>
          </cell>
        </row>
        <row r="73">
          <cell r="B73" t="str">
            <v>04.2001</v>
          </cell>
          <cell r="C73" t="str">
            <v xml:space="preserve">V¸n khu«n gç </v>
          </cell>
          <cell r="D73" t="str">
            <v>m2</v>
          </cell>
          <cell r="E73">
            <v>7.3</v>
          </cell>
          <cell r="F73">
            <v>1</v>
          </cell>
          <cell r="G73">
            <v>18600</v>
          </cell>
          <cell r="J73">
            <v>135780</v>
          </cell>
        </row>
        <row r="74">
          <cell r="C74" t="str">
            <v>b/ Nh©n c«ng:</v>
          </cell>
        </row>
        <row r="75">
          <cell r="B75" t="str">
            <v>04.1101</v>
          </cell>
          <cell r="C75" t="str">
            <v>Gia c«ng l¾p dùng cèt thÐp F &lt;=10</v>
          </cell>
          <cell r="D75" t="str">
            <v>kg</v>
          </cell>
          <cell r="E75">
            <v>13.810799999999999</v>
          </cell>
          <cell r="F75">
            <v>1</v>
          </cell>
          <cell r="H75">
            <v>201.59299999999999</v>
          </cell>
          <cell r="I75">
            <v>1</v>
          </cell>
          <cell r="K75">
            <v>2784.1606043999996</v>
          </cell>
        </row>
        <row r="76">
          <cell r="B76" t="str">
            <v>04.2001</v>
          </cell>
          <cell r="C76" t="str">
            <v xml:space="preserve">L¾p dùng v¸n gç </v>
          </cell>
          <cell r="D76" t="str">
            <v>m2</v>
          </cell>
          <cell r="E76">
            <v>7.3</v>
          </cell>
          <cell r="F76">
            <v>1</v>
          </cell>
          <cell r="H76">
            <v>5309.19</v>
          </cell>
          <cell r="I76">
            <v>1</v>
          </cell>
          <cell r="K76">
            <v>38757.087</v>
          </cell>
        </row>
        <row r="77">
          <cell r="B77" t="str">
            <v>03.1113</v>
          </cell>
          <cell r="C77" t="str">
            <v>§µo ®Êt hè mãng  ®Êt cÊp 3</v>
          </cell>
          <cell r="D77" t="str">
            <v>m3</v>
          </cell>
          <cell r="E77">
            <v>13.155999999999999</v>
          </cell>
          <cell r="F77">
            <v>1</v>
          </cell>
          <cell r="H77">
            <v>24428</v>
          </cell>
          <cell r="I77">
            <v>1</v>
          </cell>
          <cell r="K77">
            <v>321374.76799999998</v>
          </cell>
        </row>
        <row r="78">
          <cell r="B78" t="str">
            <v>03.2203</v>
          </cell>
          <cell r="C78" t="str">
            <v>LÊp ®Êt hè mãng ®Êt cÊp 3</v>
          </cell>
          <cell r="D78" t="str">
            <v>m3</v>
          </cell>
          <cell r="E78">
            <v>10.355999999999998</v>
          </cell>
          <cell r="F78">
            <v>1</v>
          </cell>
          <cell r="H78">
            <v>10890</v>
          </cell>
          <cell r="I78">
            <v>1</v>
          </cell>
          <cell r="K78">
            <v>112776.83999999998</v>
          </cell>
        </row>
        <row r="79">
          <cell r="B79" t="str">
            <v>03.2203</v>
          </cell>
          <cell r="C79" t="str">
            <v>§¾p lèc  ®Êt cÊp 3</v>
          </cell>
          <cell r="D79" t="str">
            <v>m3</v>
          </cell>
          <cell r="E79">
            <v>0.48</v>
          </cell>
          <cell r="F79">
            <v>1</v>
          </cell>
          <cell r="H79">
            <v>10890</v>
          </cell>
          <cell r="I79">
            <v>1</v>
          </cell>
          <cell r="K79">
            <v>5227.2</v>
          </cell>
        </row>
        <row r="80">
          <cell r="B80" t="str">
            <v xml:space="preserve">ChiÕt tÝnh </v>
          </cell>
          <cell r="C80" t="str">
            <v>§æ bª t«ng chÌn mãng M200</v>
          </cell>
          <cell r="D80" t="str">
            <v>m3</v>
          </cell>
          <cell r="E80">
            <v>0.08</v>
          </cell>
          <cell r="F80">
            <v>1</v>
          </cell>
          <cell r="H80">
            <v>86449.991699999999</v>
          </cell>
          <cell r="I80">
            <v>1</v>
          </cell>
          <cell r="K80">
            <v>6915.9993359999999</v>
          </cell>
        </row>
        <row r="81">
          <cell r="B81" t="str">
            <v xml:space="preserve">ChiÕt tÝnh </v>
          </cell>
          <cell r="C81" t="str">
            <v>§æ bª t«ng ®óc mãng M150</v>
          </cell>
          <cell r="D81" t="str">
            <v>m3</v>
          </cell>
          <cell r="E81">
            <v>2.3199999999999998</v>
          </cell>
          <cell r="F81">
            <v>1</v>
          </cell>
          <cell r="H81">
            <v>85750.902999999991</v>
          </cell>
          <cell r="I81">
            <v>1</v>
          </cell>
          <cell r="K81">
            <v>198942.09495999996</v>
          </cell>
        </row>
        <row r="82">
          <cell r="B82" t="str">
            <v xml:space="preserve">ChiÕt tÝnh </v>
          </cell>
          <cell r="C82" t="str">
            <v>§æ bª t«ng lãt mãng M50</v>
          </cell>
          <cell r="D82" t="str">
            <v>m3</v>
          </cell>
          <cell r="E82">
            <v>0.4</v>
          </cell>
          <cell r="F82">
            <v>1</v>
          </cell>
          <cell r="H82">
            <v>79409.602199999994</v>
          </cell>
          <cell r="I82">
            <v>1</v>
          </cell>
          <cell r="K82">
            <v>31763.84088</v>
          </cell>
        </row>
        <row r="83">
          <cell r="B83" t="str">
            <v>02.1482</v>
          </cell>
          <cell r="C83" t="str">
            <v>VËn chuyÓn dông cô thi c«ng  300m</v>
          </cell>
          <cell r="D83" t="str">
            <v xml:space="preserve">TÊn </v>
          </cell>
          <cell r="E83">
            <v>0.2</v>
          </cell>
          <cell r="F83">
            <v>1</v>
          </cell>
          <cell r="H83">
            <v>30240.5</v>
          </cell>
          <cell r="I83">
            <v>1</v>
          </cell>
          <cell r="K83">
            <v>6048.1</v>
          </cell>
        </row>
        <row r="84">
          <cell r="C84" t="str">
            <v xml:space="preserve">c/ M¸y thi c«ng </v>
          </cell>
        </row>
        <row r="85">
          <cell r="B85" t="str">
            <v>04.1101</v>
          </cell>
          <cell r="C85" t="str">
            <v>Gia c«ng l¾p dùng cèt thÐp F &lt;=10</v>
          </cell>
          <cell r="D85" t="str">
            <v>kg</v>
          </cell>
          <cell r="E85">
            <v>13.810799999999999</v>
          </cell>
          <cell r="F85">
            <v>1</v>
          </cell>
          <cell r="G85">
            <v>17</v>
          </cell>
          <cell r="L85">
            <v>234.78359999999998</v>
          </cell>
        </row>
        <row r="87">
          <cell r="A87" t="str">
            <v>MT4</v>
          </cell>
          <cell r="C87" t="str">
            <v xml:space="preserve"> Mãng MT4</v>
          </cell>
          <cell r="J87">
            <v>674246.5120000001</v>
          </cell>
          <cell r="K87">
            <v>547676.76792639995</v>
          </cell>
          <cell r="L87">
            <v>234.78359999999998</v>
          </cell>
        </row>
        <row r="88">
          <cell r="C88" t="str">
            <v>a/ VËt liÖu:</v>
          </cell>
        </row>
        <row r="89">
          <cell r="C89" t="str">
            <v>S¾t F 8</v>
          </cell>
          <cell r="D89" t="str">
            <v>kg</v>
          </cell>
          <cell r="E89">
            <v>5</v>
          </cell>
          <cell r="F89" t="str">
            <v>1,02</v>
          </cell>
          <cell r="G89">
            <v>4625</v>
          </cell>
          <cell r="J89">
            <v>23587.5</v>
          </cell>
        </row>
        <row r="90">
          <cell r="C90" t="str">
            <v>S¾t F 10</v>
          </cell>
          <cell r="D90" t="str">
            <v>kg</v>
          </cell>
          <cell r="E90">
            <v>8.5399999999999991</v>
          </cell>
          <cell r="F90" t="str">
            <v>1,02</v>
          </cell>
          <cell r="G90">
            <v>4465</v>
          </cell>
          <cell r="J90">
            <v>38893.721999999994</v>
          </cell>
        </row>
        <row r="91">
          <cell r="C91" t="str">
            <v>Bª t«ng M200</v>
          </cell>
          <cell r="D91" t="str">
            <v>m3</v>
          </cell>
          <cell r="E91">
            <v>0.08</v>
          </cell>
          <cell r="F91" t="str">
            <v>1</v>
          </cell>
          <cell r="G91">
            <v>345779</v>
          </cell>
          <cell r="J91">
            <v>27662.32</v>
          </cell>
        </row>
        <row r="92">
          <cell r="C92" t="str">
            <v>Bª t«ng M150</v>
          </cell>
          <cell r="D92" t="str">
            <v>m3</v>
          </cell>
          <cell r="E92">
            <v>1.59</v>
          </cell>
          <cell r="F92" t="str">
            <v>1</v>
          </cell>
          <cell r="G92">
            <v>247131</v>
          </cell>
          <cell r="J92">
            <v>392938.29000000004</v>
          </cell>
        </row>
        <row r="93">
          <cell r="C93" t="str">
            <v>Bª t«ng M50</v>
          </cell>
          <cell r="D93" t="str">
            <v>m3</v>
          </cell>
          <cell r="E93">
            <v>0.28000000000000003</v>
          </cell>
          <cell r="F93" t="str">
            <v>1</v>
          </cell>
          <cell r="G93">
            <v>177741</v>
          </cell>
          <cell r="J93">
            <v>49767.48</v>
          </cell>
        </row>
        <row r="94">
          <cell r="B94" t="str">
            <v>04.2001</v>
          </cell>
          <cell r="C94" t="str">
            <v xml:space="preserve">V¸n khu«n gç </v>
          </cell>
          <cell r="D94" t="str">
            <v>m2</v>
          </cell>
          <cell r="E94">
            <v>7.24</v>
          </cell>
          <cell r="F94" t="str">
            <v>1,05</v>
          </cell>
          <cell r="G94">
            <v>18600</v>
          </cell>
          <cell r="J94">
            <v>141397.20000000001</v>
          </cell>
        </row>
        <row r="95">
          <cell r="C95" t="str">
            <v>b/ Nh©n c«ng:</v>
          </cell>
        </row>
        <row r="96">
          <cell r="B96" t="str">
            <v>04.1101</v>
          </cell>
          <cell r="C96" t="str">
            <v>Gia c«ng l¾p dùng cèt thÐp F &lt;=10</v>
          </cell>
          <cell r="D96" t="str">
            <v>kg</v>
          </cell>
          <cell r="E96">
            <v>13.810799999999999</v>
          </cell>
          <cell r="F96">
            <v>1</v>
          </cell>
          <cell r="H96">
            <v>201.59299999999999</v>
          </cell>
          <cell r="I96">
            <v>1</v>
          </cell>
          <cell r="K96">
            <v>2784.1606043999996</v>
          </cell>
        </row>
        <row r="97">
          <cell r="B97" t="str">
            <v>04.2001</v>
          </cell>
          <cell r="C97" t="str">
            <v xml:space="preserve">L¾p dùng v¸n gç </v>
          </cell>
          <cell r="D97" t="str">
            <v>m2</v>
          </cell>
          <cell r="E97">
            <v>7.24</v>
          </cell>
          <cell r="F97">
            <v>1</v>
          </cell>
          <cell r="H97">
            <v>5309.19</v>
          </cell>
          <cell r="I97">
            <v>1</v>
          </cell>
          <cell r="K97">
            <v>38438.535599999996</v>
          </cell>
        </row>
        <row r="98">
          <cell r="B98" t="str">
            <v>03.1113</v>
          </cell>
          <cell r="C98" t="str">
            <v>§µo ®Êt hè mãng cÊp 3</v>
          </cell>
          <cell r="D98" t="str">
            <v>m3</v>
          </cell>
          <cell r="E98">
            <v>9.9359999999999982</v>
          </cell>
          <cell r="F98">
            <v>1</v>
          </cell>
          <cell r="H98">
            <v>24428</v>
          </cell>
          <cell r="I98">
            <v>1</v>
          </cell>
          <cell r="K98">
            <v>242716.60799999995</v>
          </cell>
        </row>
        <row r="99">
          <cell r="B99" t="str">
            <v>03.2203</v>
          </cell>
          <cell r="C99" t="str">
            <v>LÊp ®Êt hè mãng  cÊp 3</v>
          </cell>
          <cell r="D99" t="str">
            <v>m3</v>
          </cell>
          <cell r="E99">
            <v>7.985999999999998</v>
          </cell>
          <cell r="F99">
            <v>1</v>
          </cell>
          <cell r="H99">
            <v>10890</v>
          </cell>
          <cell r="I99">
            <v>1</v>
          </cell>
          <cell r="K99">
            <v>86967.539999999979</v>
          </cell>
        </row>
        <row r="100">
          <cell r="B100" t="str">
            <v>03.2203</v>
          </cell>
          <cell r="C100" t="str">
            <v>§¾p lèc cÊp 3</v>
          </cell>
          <cell r="D100" t="str">
            <v>m3</v>
          </cell>
          <cell r="E100">
            <v>0.48</v>
          </cell>
          <cell r="F100">
            <v>1</v>
          </cell>
          <cell r="H100">
            <v>10890</v>
          </cell>
          <cell r="I100">
            <v>1</v>
          </cell>
          <cell r="K100">
            <v>5227.2</v>
          </cell>
        </row>
        <row r="101">
          <cell r="B101" t="str">
            <v xml:space="preserve">ChiÕt tÝnh </v>
          </cell>
          <cell r="C101" t="str">
            <v>§æ bª t«ng chÌn mãng M200</v>
          </cell>
          <cell r="D101" t="str">
            <v>m3</v>
          </cell>
          <cell r="E101">
            <v>0.08</v>
          </cell>
          <cell r="F101">
            <v>1</v>
          </cell>
          <cell r="H101">
            <v>86449.991699999999</v>
          </cell>
          <cell r="I101">
            <v>1</v>
          </cell>
          <cell r="K101">
            <v>6915.9993359999999</v>
          </cell>
        </row>
        <row r="102">
          <cell r="B102" t="str">
            <v xml:space="preserve">ChiÕt tÝnh </v>
          </cell>
          <cell r="C102" t="str">
            <v>§æ bª t«ng ®óc mãng M150</v>
          </cell>
          <cell r="D102" t="str">
            <v>m3</v>
          </cell>
          <cell r="E102">
            <v>1.59</v>
          </cell>
          <cell r="F102">
            <v>1</v>
          </cell>
          <cell r="H102">
            <v>85750.902999999991</v>
          </cell>
          <cell r="I102">
            <v>1</v>
          </cell>
          <cell r="K102">
            <v>136343.93576999998</v>
          </cell>
        </row>
        <row r="103">
          <cell r="B103" t="str">
            <v xml:space="preserve">ChiÕt tÝnh </v>
          </cell>
          <cell r="C103" t="str">
            <v>§æ bª t«ng lãt mãng M50</v>
          </cell>
          <cell r="D103" t="str">
            <v>m3</v>
          </cell>
          <cell r="E103">
            <v>0.28000000000000003</v>
          </cell>
          <cell r="F103">
            <v>1</v>
          </cell>
          <cell r="H103">
            <v>79409.602199999994</v>
          </cell>
          <cell r="I103">
            <v>1</v>
          </cell>
          <cell r="K103">
            <v>22234.688615999999</v>
          </cell>
        </row>
        <row r="104">
          <cell r="B104" t="str">
            <v>02.1482</v>
          </cell>
          <cell r="C104" t="str">
            <v xml:space="preserve">VËn chuyÓn dông cô thi c«ng </v>
          </cell>
          <cell r="D104" t="str">
            <v xml:space="preserve">TÊn </v>
          </cell>
          <cell r="E104">
            <v>0.2</v>
          </cell>
          <cell r="F104">
            <v>1</v>
          </cell>
          <cell r="H104">
            <v>30240.5</v>
          </cell>
          <cell r="I104">
            <v>1</v>
          </cell>
          <cell r="K104">
            <v>6048.1</v>
          </cell>
        </row>
        <row r="105">
          <cell r="C105" t="str">
            <v xml:space="preserve">c/ M¸y thi c«ng </v>
          </cell>
        </row>
        <row r="106">
          <cell r="B106" t="str">
            <v>04.1101</v>
          </cell>
          <cell r="C106" t="str">
            <v>Gia c«ng l¾p dùng cèt thÐp F &lt;=10</v>
          </cell>
          <cell r="D106" t="str">
            <v>kg</v>
          </cell>
          <cell r="E106">
            <v>13.810799999999999</v>
          </cell>
          <cell r="F106">
            <v>1</v>
          </cell>
          <cell r="G106">
            <v>17</v>
          </cell>
          <cell r="L106">
            <v>234.78359999999998</v>
          </cell>
        </row>
        <row r="108">
          <cell r="A108" t="str">
            <v>MT3</v>
          </cell>
          <cell r="C108" t="str">
            <v xml:space="preserve"> Mãng MT3</v>
          </cell>
          <cell r="J108">
            <v>572955.22</v>
          </cell>
          <cell r="K108">
            <v>403297.84413600003</v>
          </cell>
        </row>
        <row r="109">
          <cell r="C109" t="str">
            <v>a/ VËt liÖu:</v>
          </cell>
        </row>
        <row r="110">
          <cell r="C110" t="str">
            <v>S¾t F 8</v>
          </cell>
          <cell r="D110" t="str">
            <v>kg</v>
          </cell>
          <cell r="E110">
            <v>4.8</v>
          </cell>
          <cell r="F110" t="str">
            <v>1,02</v>
          </cell>
          <cell r="G110">
            <v>4350</v>
          </cell>
          <cell r="J110">
            <v>21297.599999999999</v>
          </cell>
        </row>
        <row r="111">
          <cell r="C111" t="str">
            <v>S¾t F 10</v>
          </cell>
          <cell r="D111" t="str">
            <v>kg</v>
          </cell>
          <cell r="E111">
            <v>5.6</v>
          </cell>
          <cell r="F111" t="str">
            <v>1,02</v>
          </cell>
          <cell r="G111">
            <v>4350</v>
          </cell>
          <cell r="J111">
            <v>24847.199999999997</v>
          </cell>
        </row>
        <row r="112">
          <cell r="C112" t="str">
            <v>Bª t«ng M200</v>
          </cell>
          <cell r="D112" t="str">
            <v>m3</v>
          </cell>
          <cell r="E112">
            <v>0.08</v>
          </cell>
          <cell r="F112" t="str">
            <v>1</v>
          </cell>
          <cell r="G112">
            <v>345779</v>
          </cell>
          <cell r="J112">
            <v>27662.32</v>
          </cell>
        </row>
        <row r="113">
          <cell r="C113" t="str">
            <v>Bª t«ng M150</v>
          </cell>
          <cell r="D113" t="str">
            <v>m3</v>
          </cell>
          <cell r="E113">
            <v>1.35</v>
          </cell>
          <cell r="F113" t="str">
            <v>1</v>
          </cell>
          <cell r="G113">
            <v>247131</v>
          </cell>
          <cell r="J113">
            <v>333626.85000000003</v>
          </cell>
        </row>
        <row r="114">
          <cell r="C114" t="str">
            <v>Bª t«ng M50</v>
          </cell>
          <cell r="D114" t="str">
            <v>m3</v>
          </cell>
          <cell r="E114">
            <v>0.25</v>
          </cell>
          <cell r="F114" t="str">
            <v>1</v>
          </cell>
          <cell r="G114">
            <v>177741</v>
          </cell>
          <cell r="J114">
            <v>44435.25</v>
          </cell>
        </row>
        <row r="115">
          <cell r="B115" t="str">
            <v>04.2001</v>
          </cell>
          <cell r="C115" t="str">
            <v xml:space="preserve">V¸n khu«n gç </v>
          </cell>
          <cell r="D115" t="str">
            <v>m2</v>
          </cell>
          <cell r="E115">
            <v>6.2</v>
          </cell>
          <cell r="F115" t="str">
            <v>1,05</v>
          </cell>
          <cell r="G115">
            <v>18600</v>
          </cell>
          <cell r="J115">
            <v>121086</v>
          </cell>
        </row>
        <row r="116">
          <cell r="C116" t="str">
            <v>b/ Nh©n c«ng:</v>
          </cell>
        </row>
        <row r="117">
          <cell r="B117" t="str">
            <v>04.1101</v>
          </cell>
          <cell r="C117" t="str">
            <v>Gia c«ng l¾p dùng cèt thÐp F &lt;=10</v>
          </cell>
          <cell r="D117" t="str">
            <v>kg</v>
          </cell>
          <cell r="E117">
            <v>10.4</v>
          </cell>
          <cell r="F117">
            <v>1</v>
          </cell>
          <cell r="H117">
            <v>201.59299999999999</v>
          </cell>
          <cell r="I117">
            <v>1</v>
          </cell>
          <cell r="K117">
            <v>2096.5672</v>
          </cell>
        </row>
        <row r="118">
          <cell r="B118" t="str">
            <v>04.2001</v>
          </cell>
          <cell r="C118" t="str">
            <v xml:space="preserve">L¾p dùng v¸n gç </v>
          </cell>
          <cell r="D118" t="str">
            <v>m2</v>
          </cell>
          <cell r="E118">
            <v>6.2</v>
          </cell>
          <cell r="F118">
            <v>1</v>
          </cell>
          <cell r="H118">
            <v>5309.19</v>
          </cell>
          <cell r="I118">
            <v>1</v>
          </cell>
          <cell r="K118">
            <v>32916.977999999996</v>
          </cell>
        </row>
        <row r="119">
          <cell r="B119" t="str">
            <v>03.1113</v>
          </cell>
          <cell r="C119" t="str">
            <v xml:space="preserve">§µo ®Êt hè mãng </v>
          </cell>
          <cell r="D119" t="str">
            <v>m3</v>
          </cell>
          <cell r="E119">
            <v>6.91</v>
          </cell>
          <cell r="F119">
            <v>1</v>
          </cell>
          <cell r="H119">
            <v>24428</v>
          </cell>
          <cell r="I119">
            <v>1</v>
          </cell>
          <cell r="K119">
            <v>168797.48</v>
          </cell>
        </row>
        <row r="120">
          <cell r="B120" t="str">
            <v>03.2203</v>
          </cell>
          <cell r="C120" t="str">
            <v xml:space="preserve">LÊp ®Êt hè mãng </v>
          </cell>
          <cell r="D120" t="str">
            <v>m3</v>
          </cell>
          <cell r="E120">
            <v>5.23</v>
          </cell>
          <cell r="F120">
            <v>1</v>
          </cell>
          <cell r="H120">
            <v>10890</v>
          </cell>
          <cell r="I120">
            <v>1</v>
          </cell>
          <cell r="K120">
            <v>56954.700000000004</v>
          </cell>
        </row>
        <row r="121">
          <cell r="B121" t="str">
            <v xml:space="preserve">ChiÕt tÝnh </v>
          </cell>
          <cell r="C121" t="str">
            <v>§æ bª t«ng chÌn mãng M200</v>
          </cell>
          <cell r="D121" t="str">
            <v>m3</v>
          </cell>
          <cell r="E121">
            <v>0.08</v>
          </cell>
          <cell r="F121">
            <v>1</v>
          </cell>
          <cell r="H121">
            <v>86449.991699999999</v>
          </cell>
          <cell r="I121">
            <v>1</v>
          </cell>
          <cell r="K121">
            <v>6915.9993359999999</v>
          </cell>
        </row>
        <row r="122">
          <cell r="B122" t="str">
            <v xml:space="preserve">ChiÕt tÝnh </v>
          </cell>
          <cell r="C122" t="str">
            <v>§æ bª t«ng ®óc mãng M150</v>
          </cell>
          <cell r="D122" t="str">
            <v>m3</v>
          </cell>
          <cell r="E122">
            <v>1.35</v>
          </cell>
          <cell r="F122">
            <v>1</v>
          </cell>
          <cell r="H122">
            <v>85750.902999999991</v>
          </cell>
          <cell r="I122">
            <v>1</v>
          </cell>
          <cell r="K122">
            <v>115763.71905</v>
          </cell>
        </row>
        <row r="123">
          <cell r="B123" t="str">
            <v xml:space="preserve">ChiÕt tÝnh </v>
          </cell>
          <cell r="C123" t="str">
            <v>§æ bª t«ng lãt mãng M50</v>
          </cell>
          <cell r="D123" t="str">
            <v>m3</v>
          </cell>
          <cell r="E123">
            <v>0.25</v>
          </cell>
          <cell r="F123">
            <v>1</v>
          </cell>
          <cell r="H123">
            <v>79409.602199999994</v>
          </cell>
          <cell r="I123">
            <v>1</v>
          </cell>
          <cell r="K123">
            <v>19852.400549999998</v>
          </cell>
        </row>
        <row r="124">
          <cell r="C124" t="str">
            <v xml:space="preserve">c/ M¸y thi c«ng </v>
          </cell>
        </row>
        <row r="125">
          <cell r="B125" t="str">
            <v>04.1101</v>
          </cell>
          <cell r="C125" t="str">
            <v>Gia c«ng l¾p dùng cèt thÐp F &lt;=10</v>
          </cell>
          <cell r="D125" t="str">
            <v>kg</v>
          </cell>
          <cell r="E125">
            <v>10.4</v>
          </cell>
          <cell r="F125">
            <v>1</v>
          </cell>
          <cell r="G125">
            <v>17</v>
          </cell>
          <cell r="J125">
            <v>176.8</v>
          </cell>
        </row>
        <row r="127">
          <cell r="A127" t="str">
            <v>MN15-5</v>
          </cell>
          <cell r="C127" t="str">
            <v xml:space="preserve"> Mãng nÐo MN15-5</v>
          </cell>
          <cell r="J127">
            <v>285478.34552000003</v>
          </cell>
          <cell r="K127">
            <v>196019.42</v>
          </cell>
        </row>
        <row r="128">
          <cell r="C128" t="str">
            <v>a/ VËt liÖu :</v>
          </cell>
        </row>
        <row r="129">
          <cell r="C129" t="str">
            <v>Cèt thÐp F 6,12</v>
          </cell>
          <cell r="D129" t="str">
            <v>kg</v>
          </cell>
          <cell r="E129">
            <v>13.940000000000001</v>
          </cell>
          <cell r="F129">
            <v>1.02</v>
          </cell>
          <cell r="G129">
            <v>4465</v>
          </cell>
          <cell r="J129">
            <v>63486.94200000001</v>
          </cell>
        </row>
        <row r="130">
          <cell r="C130" t="str">
            <v xml:space="preserve">ThÐp m¹ kÏm </v>
          </cell>
          <cell r="D130" t="str">
            <v>kg</v>
          </cell>
          <cell r="E130">
            <v>18.876000000000001</v>
          </cell>
          <cell r="F130">
            <v>1.02</v>
          </cell>
          <cell r="G130">
            <v>9726</v>
          </cell>
          <cell r="J130">
            <v>187259.73552000002</v>
          </cell>
        </row>
        <row r="131">
          <cell r="C131" t="str">
            <v>D©y thÐp F 1</v>
          </cell>
          <cell r="D131" t="str">
            <v>kg</v>
          </cell>
          <cell r="E131">
            <v>0.28000000000000003</v>
          </cell>
          <cell r="F131">
            <v>1</v>
          </cell>
          <cell r="G131">
            <v>7000</v>
          </cell>
          <cell r="J131">
            <v>1960.0000000000002</v>
          </cell>
        </row>
        <row r="132">
          <cell r="C132" t="str">
            <v xml:space="preserve">Que hµn ®iÖn </v>
          </cell>
          <cell r="D132" t="str">
            <v>kg</v>
          </cell>
          <cell r="E132">
            <v>0.08</v>
          </cell>
          <cell r="F132">
            <v>1</v>
          </cell>
          <cell r="G132">
            <v>12000</v>
          </cell>
          <cell r="J132">
            <v>960</v>
          </cell>
        </row>
        <row r="133">
          <cell r="C133" t="str">
            <v>Bª t«ng ®óc s½n M200</v>
          </cell>
          <cell r="D133" t="str">
            <v>m3</v>
          </cell>
          <cell r="E133">
            <v>9.1999999999999998E-2</v>
          </cell>
          <cell r="F133">
            <v>1</v>
          </cell>
          <cell r="G133">
            <v>345779</v>
          </cell>
          <cell r="J133">
            <v>31811.667999999998</v>
          </cell>
        </row>
        <row r="134">
          <cell r="C134" t="str">
            <v xml:space="preserve">b/Nh©n c«ng </v>
          </cell>
        </row>
        <row r="135">
          <cell r="B135" t="str">
            <v>03.1113</v>
          </cell>
          <cell r="C135" t="str">
            <v>§µo ®Êt hè mãng ®Êt cÊp III</v>
          </cell>
          <cell r="D135" t="str">
            <v>m3</v>
          </cell>
          <cell r="E135">
            <v>5</v>
          </cell>
          <cell r="H135">
            <v>24428</v>
          </cell>
          <cell r="K135">
            <v>122140</v>
          </cell>
        </row>
        <row r="136">
          <cell r="B136" t="str">
            <v>03.2203</v>
          </cell>
          <cell r="C136" t="str">
            <v>LÊp ®Êt hè mãng ®Êt cÊp III</v>
          </cell>
          <cell r="D136" t="str">
            <v>m3</v>
          </cell>
          <cell r="E136">
            <v>4.91</v>
          </cell>
          <cell r="H136">
            <v>10890</v>
          </cell>
          <cell r="K136">
            <v>53469.9</v>
          </cell>
        </row>
        <row r="137">
          <cell r="B137" t="str">
            <v>ChiÕt tÝnh</v>
          </cell>
          <cell r="C137" t="str">
            <v xml:space="preserve">§óc s½n tÊm nÐo </v>
          </cell>
          <cell r="D137" t="str">
            <v>m3</v>
          </cell>
          <cell r="E137">
            <v>0.13</v>
          </cell>
          <cell r="H137">
            <v>50328</v>
          </cell>
          <cell r="K137">
            <v>6542.64</v>
          </cell>
        </row>
        <row r="138">
          <cell r="B138" t="str">
            <v>04.1101</v>
          </cell>
          <cell r="C138" t="str">
            <v>Gia c«ng , l¾p cèt thÐp F 6,12</v>
          </cell>
          <cell r="D138" t="str">
            <v>kg</v>
          </cell>
          <cell r="E138">
            <v>13.94</v>
          </cell>
          <cell r="H138">
            <v>202</v>
          </cell>
          <cell r="K138">
            <v>2815.88</v>
          </cell>
        </row>
        <row r="139">
          <cell r="B139" t="str">
            <v>04.3801</v>
          </cell>
          <cell r="C139" t="str">
            <v>L¾p tÊm nÐo &lt;0,25TÊn</v>
          </cell>
          <cell r="D139" t="str">
            <v>TÊm</v>
          </cell>
          <cell r="E139">
            <v>1</v>
          </cell>
          <cell r="H139">
            <v>11051</v>
          </cell>
          <cell r="K139">
            <v>11051</v>
          </cell>
        </row>
        <row r="140">
          <cell r="C140" t="str">
            <v xml:space="preserve">c/ M¸y thi c«ng </v>
          </cell>
        </row>
        <row r="141">
          <cell r="B141" t="str">
            <v>04.1101</v>
          </cell>
          <cell r="C141" t="str">
            <v>Gia c«ng cèt thÐp F &lt;10</v>
          </cell>
          <cell r="D141" t="str">
            <v>kg</v>
          </cell>
          <cell r="E141">
            <v>13.94</v>
          </cell>
          <cell r="G141">
            <v>17</v>
          </cell>
          <cell r="J141">
            <v>236.98</v>
          </cell>
        </row>
        <row r="143">
          <cell r="A143" t="str">
            <v>MT1</v>
          </cell>
          <cell r="C143" t="str">
            <v xml:space="preserve"> Mãng MT1</v>
          </cell>
          <cell r="J143">
            <v>160464</v>
          </cell>
          <cell r="K143">
            <v>87389.350640000019</v>
          </cell>
        </row>
        <row r="144">
          <cell r="C144" t="str">
            <v>a/ VËt liÖu:</v>
          </cell>
        </row>
        <row r="145">
          <cell r="C145" t="str">
            <v>Bª t«ng M100</v>
          </cell>
          <cell r="D145" t="str">
            <v>m3</v>
          </cell>
          <cell r="E145">
            <v>0.8</v>
          </cell>
          <cell r="F145" t="str">
            <v>1</v>
          </cell>
          <cell r="G145">
            <v>200580</v>
          </cell>
          <cell r="J145">
            <v>160464</v>
          </cell>
        </row>
        <row r="146">
          <cell r="C146" t="str">
            <v>b/ Nh©n c«ng:</v>
          </cell>
        </row>
        <row r="147">
          <cell r="B147" t="str">
            <v>03.1113</v>
          </cell>
          <cell r="C147" t="str">
            <v>§µo ®Êt hè mãng ®Êt cÊp 3</v>
          </cell>
          <cell r="D147" t="str">
            <v>m3</v>
          </cell>
          <cell r="E147">
            <v>0.8</v>
          </cell>
          <cell r="F147">
            <v>1</v>
          </cell>
          <cell r="H147">
            <v>24428</v>
          </cell>
          <cell r="I147">
            <v>1</v>
          </cell>
          <cell r="K147">
            <v>19542.400000000001</v>
          </cell>
        </row>
        <row r="148">
          <cell r="B148" t="str">
            <v xml:space="preserve">ChiÕt tÝnh </v>
          </cell>
          <cell r="C148" t="str">
            <v>§æ bª t«ng ®óc mãng M100</v>
          </cell>
          <cell r="D148" t="str">
            <v>m3</v>
          </cell>
          <cell r="E148">
            <v>0.8</v>
          </cell>
          <cell r="F148">
            <v>1</v>
          </cell>
          <cell r="H148">
            <v>84808.688300000009</v>
          </cell>
          <cell r="I148">
            <v>1</v>
          </cell>
          <cell r="K148">
            <v>67846.95064000001</v>
          </cell>
        </row>
        <row r="150">
          <cell r="A150" t="str">
            <v>MN12-4</v>
          </cell>
          <cell r="C150" t="str">
            <v xml:space="preserve"> Mãng nÐo MN 12-4</v>
          </cell>
          <cell r="J150">
            <v>144631.12960000001</v>
          </cell>
          <cell r="K150">
            <v>197625.32</v>
          </cell>
        </row>
        <row r="151">
          <cell r="C151" t="str">
            <v>a/ VËt liÖu :</v>
          </cell>
        </row>
        <row r="152">
          <cell r="C152" t="str">
            <v>Cèt thÐp F 6,12</v>
          </cell>
          <cell r="D152" t="str">
            <v>kg</v>
          </cell>
          <cell r="E152">
            <v>14.06</v>
          </cell>
          <cell r="F152">
            <v>1.02</v>
          </cell>
          <cell r="G152">
            <v>4465</v>
          </cell>
          <cell r="J152">
            <v>64033.458000000006</v>
          </cell>
        </row>
        <row r="153">
          <cell r="C153" t="str">
            <v xml:space="preserve">ThÐp m¹ kÏm </v>
          </cell>
          <cell r="D153" t="str">
            <v>kg</v>
          </cell>
          <cell r="E153">
            <v>7.83</v>
          </cell>
          <cell r="F153">
            <v>1.02</v>
          </cell>
          <cell r="G153">
            <v>9726</v>
          </cell>
          <cell r="J153">
            <v>77677.671600000001</v>
          </cell>
        </row>
        <row r="154">
          <cell r="C154" t="str">
            <v>D©y thÐp F 1</v>
          </cell>
          <cell r="D154" t="str">
            <v>kg</v>
          </cell>
          <cell r="E154">
            <v>0.28000000000000003</v>
          </cell>
          <cell r="F154">
            <v>1</v>
          </cell>
          <cell r="G154">
            <v>7000</v>
          </cell>
          <cell r="J154">
            <v>1960.0000000000002</v>
          </cell>
        </row>
        <row r="155">
          <cell r="C155" t="str">
            <v xml:space="preserve">Que hµn ®iÖn </v>
          </cell>
          <cell r="D155" t="str">
            <v>kg</v>
          </cell>
          <cell r="E155">
            <v>0.08</v>
          </cell>
          <cell r="F155">
            <v>1</v>
          </cell>
          <cell r="G155">
            <v>12000</v>
          </cell>
          <cell r="J155">
            <v>960</v>
          </cell>
        </row>
        <row r="156">
          <cell r="C156" t="str">
            <v>Bª t«ng ®óc s½n M200</v>
          </cell>
          <cell r="D156" t="str">
            <v>m3</v>
          </cell>
          <cell r="E156">
            <v>5.8000000000000003E-2</v>
          </cell>
          <cell r="F156">
            <v>1</v>
          </cell>
          <cell r="G156">
            <v>0</v>
          </cell>
          <cell r="J156">
            <v>0</v>
          </cell>
        </row>
        <row r="157">
          <cell r="C157" t="str">
            <v xml:space="preserve">b/Nh©n c«ng </v>
          </cell>
        </row>
        <row r="158">
          <cell r="B158" t="str">
            <v>03.1113</v>
          </cell>
          <cell r="C158" t="str">
            <v>§µo ®Êt hè mãng ®Êt cÊp III</v>
          </cell>
          <cell r="D158" t="str">
            <v>m3</v>
          </cell>
          <cell r="E158">
            <v>5</v>
          </cell>
          <cell r="H158">
            <v>24428</v>
          </cell>
          <cell r="K158">
            <v>122140</v>
          </cell>
        </row>
        <row r="159">
          <cell r="B159" t="str">
            <v>03.2203</v>
          </cell>
          <cell r="C159" t="str">
            <v>LÊp ®Êt hè mãng ®Êt cÊp III</v>
          </cell>
          <cell r="D159" t="str">
            <v>m3</v>
          </cell>
          <cell r="E159">
            <v>4.91</v>
          </cell>
          <cell r="H159">
            <v>10890</v>
          </cell>
          <cell r="K159">
            <v>53469.9</v>
          </cell>
        </row>
        <row r="160">
          <cell r="B160" t="str">
            <v>ChiÕt tÝnh</v>
          </cell>
          <cell r="C160" t="str">
            <v xml:space="preserve">§óc s½n tÊm nÐo </v>
          </cell>
          <cell r="D160" t="str">
            <v>m3</v>
          </cell>
          <cell r="E160">
            <v>0.13</v>
          </cell>
          <cell r="H160">
            <v>50328</v>
          </cell>
          <cell r="K160">
            <v>6542.64</v>
          </cell>
        </row>
        <row r="161">
          <cell r="B161" t="str">
            <v>04.1101</v>
          </cell>
          <cell r="C161" t="str">
            <v>Gia c«ng , l¾p cèt thÐp F 6,12</v>
          </cell>
          <cell r="D161" t="str">
            <v>kg</v>
          </cell>
          <cell r="E161">
            <v>21.89</v>
          </cell>
          <cell r="H161">
            <v>202</v>
          </cell>
          <cell r="K161">
            <v>4421.78</v>
          </cell>
        </row>
        <row r="162">
          <cell r="B162" t="str">
            <v>04.3801</v>
          </cell>
          <cell r="C162" t="str">
            <v>L¾p tÊm nÐo &lt;0,25TÊn</v>
          </cell>
          <cell r="D162" t="str">
            <v>TÊm</v>
          </cell>
          <cell r="E162">
            <v>1</v>
          </cell>
          <cell r="H162">
            <v>11051</v>
          </cell>
          <cell r="K162">
            <v>11051</v>
          </cell>
        </row>
        <row r="163">
          <cell r="C163" t="str">
            <v xml:space="preserve">c/ M¸y thi c«ng </v>
          </cell>
        </row>
        <row r="164">
          <cell r="B164" t="str">
            <v>04.1101</v>
          </cell>
          <cell r="C164" t="str">
            <v>Gia c«ng cèt thÐp F &lt;10</v>
          </cell>
          <cell r="D164" t="str">
            <v>kg</v>
          </cell>
          <cell r="E164">
            <v>13.94</v>
          </cell>
          <cell r="G164">
            <v>17</v>
          </cell>
          <cell r="J164">
            <v>236.98</v>
          </cell>
        </row>
        <row r="166">
          <cell r="A166" t="str">
            <v>MT2</v>
          </cell>
          <cell r="C166" t="str">
            <v xml:space="preserve"> Mãng MT2</v>
          </cell>
          <cell r="J166">
            <v>240696</v>
          </cell>
          <cell r="K166">
            <v>83349.600000000006</v>
          </cell>
        </row>
        <row r="167">
          <cell r="C167" t="str">
            <v>a/ VËt liÖu:</v>
          </cell>
        </row>
        <row r="168">
          <cell r="C168" t="str">
            <v>Bª t«ng M100</v>
          </cell>
          <cell r="D168" t="str">
            <v>m3</v>
          </cell>
          <cell r="E168">
            <v>1.2</v>
          </cell>
          <cell r="F168" t="str">
            <v>1</v>
          </cell>
          <cell r="G168">
            <v>200580</v>
          </cell>
          <cell r="J168">
            <v>240696</v>
          </cell>
        </row>
        <row r="169">
          <cell r="C169" t="str">
            <v>b/ Nh©n c«ng:</v>
          </cell>
        </row>
        <row r="170">
          <cell r="B170" t="str">
            <v>03.1113</v>
          </cell>
          <cell r="C170" t="str">
            <v>§µo ®Êt hè mãng ®Êt cÊp 3</v>
          </cell>
          <cell r="D170" t="str">
            <v>m3</v>
          </cell>
          <cell r="E170">
            <v>1.2</v>
          </cell>
          <cell r="F170">
            <v>1</v>
          </cell>
          <cell r="H170">
            <v>24428</v>
          </cell>
          <cell r="I170">
            <v>1</v>
          </cell>
          <cell r="K170">
            <v>29313.599999999999</v>
          </cell>
        </row>
        <row r="171">
          <cell r="B171" t="str">
            <v xml:space="preserve">ChiÕt tÝnh </v>
          </cell>
          <cell r="C171" t="str">
            <v>§æ bª t«ng ®óc mãng M100</v>
          </cell>
          <cell r="D171" t="str">
            <v>m3</v>
          </cell>
          <cell r="E171">
            <v>1.2</v>
          </cell>
          <cell r="F171">
            <v>1</v>
          </cell>
          <cell r="H171">
            <v>45030</v>
          </cell>
          <cell r="I171">
            <v>1</v>
          </cell>
          <cell r="K171">
            <v>54036</v>
          </cell>
        </row>
        <row r="173">
          <cell r="A173" t="str">
            <v>MT3</v>
          </cell>
          <cell r="C173" t="str">
            <v xml:space="preserve"> Mãng MT3</v>
          </cell>
          <cell r="J173">
            <v>336974.39999999997</v>
          </cell>
          <cell r="K173">
            <v>116689.44</v>
          </cell>
        </row>
        <row r="174">
          <cell r="C174" t="str">
            <v>a/ VËt liÖu:</v>
          </cell>
        </row>
        <row r="175">
          <cell r="C175" t="str">
            <v>Bª t«ng M100</v>
          </cell>
          <cell r="D175" t="str">
            <v>m3</v>
          </cell>
          <cell r="E175">
            <v>1.68</v>
          </cell>
          <cell r="F175" t="str">
            <v>1</v>
          </cell>
          <cell r="G175">
            <v>200580</v>
          </cell>
          <cell r="J175">
            <v>336974.39999999997</v>
          </cell>
        </row>
        <row r="176">
          <cell r="C176" t="str">
            <v>b/ Nh©n c«ng:</v>
          </cell>
        </row>
        <row r="177">
          <cell r="B177" t="str">
            <v>03.1113</v>
          </cell>
          <cell r="C177" t="str">
            <v>§µo ®Êt hè mãng ®Êt cÊp 3</v>
          </cell>
          <cell r="D177" t="str">
            <v>m3</v>
          </cell>
          <cell r="E177">
            <v>1.68</v>
          </cell>
          <cell r="F177">
            <v>1</v>
          </cell>
          <cell r="H177">
            <v>24428</v>
          </cell>
          <cell r="I177">
            <v>1</v>
          </cell>
          <cell r="K177">
            <v>41039.040000000001</v>
          </cell>
        </row>
        <row r="178">
          <cell r="B178" t="str">
            <v xml:space="preserve">ChiÕt tÝnh </v>
          </cell>
          <cell r="C178" t="str">
            <v>§æ bª t«ng ®óc mãng M100</v>
          </cell>
          <cell r="D178" t="str">
            <v>m3</v>
          </cell>
          <cell r="E178">
            <v>1.68</v>
          </cell>
          <cell r="F178">
            <v>1</v>
          </cell>
          <cell r="H178">
            <v>45030</v>
          </cell>
          <cell r="I178">
            <v>1</v>
          </cell>
          <cell r="K178">
            <v>75650.399999999994</v>
          </cell>
        </row>
        <row r="179">
          <cell r="K179">
            <v>0</v>
          </cell>
        </row>
        <row r="180">
          <cell r="A180" t="str">
            <v>MV1</v>
          </cell>
          <cell r="C180" t="str">
            <v xml:space="preserve"> Mãng MV1</v>
          </cell>
          <cell r="J180">
            <v>160464</v>
          </cell>
          <cell r="K180">
            <v>56873.200000000004</v>
          </cell>
        </row>
        <row r="181">
          <cell r="C181" t="str">
            <v>a/ VËt liÖu:</v>
          </cell>
        </row>
        <row r="182">
          <cell r="C182" t="str">
            <v>Bª t«ng M100</v>
          </cell>
          <cell r="D182" t="str">
            <v>m3</v>
          </cell>
          <cell r="E182">
            <v>0.8</v>
          </cell>
          <cell r="F182" t="str">
            <v>1</v>
          </cell>
          <cell r="G182">
            <v>200580</v>
          </cell>
          <cell r="J182">
            <v>160464</v>
          </cell>
        </row>
        <row r="183">
          <cell r="C183" t="str">
            <v>b/ Nh©n c«ng:</v>
          </cell>
        </row>
        <row r="184">
          <cell r="B184" t="str">
            <v>03.1113</v>
          </cell>
          <cell r="C184" t="str">
            <v>§µo ®Êt hè mãng ®Êt cÊp 3</v>
          </cell>
          <cell r="D184" t="str">
            <v>m3</v>
          </cell>
          <cell r="E184">
            <v>0.8</v>
          </cell>
          <cell r="F184">
            <v>1</v>
          </cell>
          <cell r="H184">
            <v>24428</v>
          </cell>
          <cell r="I184">
            <v>1</v>
          </cell>
          <cell r="K184">
            <v>19542.400000000001</v>
          </cell>
        </row>
        <row r="185">
          <cell r="B185" t="str">
            <v xml:space="preserve">ChiÕt tÝnh </v>
          </cell>
          <cell r="C185" t="str">
            <v>§æ bª t«ng ®óc mãng M100</v>
          </cell>
          <cell r="D185" t="str">
            <v>m3</v>
          </cell>
          <cell r="E185">
            <v>0.8</v>
          </cell>
          <cell r="F185">
            <v>1</v>
          </cell>
          <cell r="H185">
            <v>45030</v>
          </cell>
          <cell r="I185">
            <v>1</v>
          </cell>
          <cell r="K185">
            <v>36024</v>
          </cell>
        </row>
        <row r="186">
          <cell r="B186" t="str">
            <v>03.2203</v>
          </cell>
          <cell r="C186" t="str">
            <v xml:space="preserve">§¾p ®Êt ch©n cét </v>
          </cell>
          <cell r="D186" t="str">
            <v>m3</v>
          </cell>
          <cell r="E186">
            <v>0.12</v>
          </cell>
          <cell r="F186">
            <v>1</v>
          </cell>
          <cell r="G186">
            <v>200580</v>
          </cell>
          <cell r="H186">
            <v>10890</v>
          </cell>
          <cell r="I186">
            <v>1</v>
          </cell>
          <cell r="K186">
            <v>1306.8</v>
          </cell>
        </row>
        <row r="188">
          <cell r="A188" t="str">
            <v>MV2</v>
          </cell>
          <cell r="C188" t="str">
            <v xml:space="preserve"> Mãng MV2</v>
          </cell>
          <cell r="J188">
            <v>240696</v>
          </cell>
          <cell r="K188">
            <v>83349.600000000006</v>
          </cell>
        </row>
        <row r="189">
          <cell r="C189" t="str">
            <v>a/ VËt liÖu:</v>
          </cell>
        </row>
        <row r="190">
          <cell r="C190" t="str">
            <v>Bª t«ng M100</v>
          </cell>
          <cell r="D190" t="str">
            <v>m3</v>
          </cell>
          <cell r="E190">
            <v>1.2</v>
          </cell>
          <cell r="F190" t="str">
            <v>1</v>
          </cell>
          <cell r="G190">
            <v>200580</v>
          </cell>
          <cell r="J190">
            <v>240696</v>
          </cell>
        </row>
        <row r="191">
          <cell r="C191" t="str">
            <v>b/ Nh©n c«ng:</v>
          </cell>
        </row>
        <row r="192">
          <cell r="B192" t="str">
            <v>03.1113</v>
          </cell>
          <cell r="C192" t="str">
            <v>§µo ®Êt hè mãng ®Êt cÊp 3</v>
          </cell>
          <cell r="D192" t="str">
            <v>m3</v>
          </cell>
          <cell r="E192">
            <v>1.2</v>
          </cell>
          <cell r="F192">
            <v>1</v>
          </cell>
          <cell r="H192">
            <v>24428</v>
          </cell>
          <cell r="I192">
            <v>1</v>
          </cell>
          <cell r="K192">
            <v>29313.599999999999</v>
          </cell>
        </row>
        <row r="193">
          <cell r="B193" t="str">
            <v xml:space="preserve">ChiÕt tÝnh </v>
          </cell>
          <cell r="C193" t="str">
            <v>§æ bª t«ng ®óc mãng M100</v>
          </cell>
          <cell r="D193" t="str">
            <v>m3</v>
          </cell>
          <cell r="E193">
            <v>1.2</v>
          </cell>
          <cell r="F193">
            <v>1</v>
          </cell>
          <cell r="H193">
            <v>45030</v>
          </cell>
          <cell r="I193">
            <v>1</v>
          </cell>
          <cell r="J193">
            <v>336974.39999999997</v>
          </cell>
          <cell r="K193">
            <v>54036</v>
          </cell>
        </row>
        <row r="195">
          <cell r="A195" t="str">
            <v>MV3</v>
          </cell>
          <cell r="C195" t="str">
            <v xml:space="preserve"> Mãng MV3</v>
          </cell>
          <cell r="J195">
            <v>336974.39999999997</v>
          </cell>
          <cell r="K195">
            <v>116689.44</v>
          </cell>
        </row>
        <row r="196">
          <cell r="C196" t="str">
            <v>a/ VËt liÖu:</v>
          </cell>
        </row>
        <row r="197">
          <cell r="C197" t="str">
            <v>Bª t«ng M100</v>
          </cell>
          <cell r="D197" t="str">
            <v>m3</v>
          </cell>
          <cell r="E197">
            <v>1.68</v>
          </cell>
          <cell r="F197" t="str">
            <v>1</v>
          </cell>
          <cell r="G197">
            <v>200580</v>
          </cell>
          <cell r="J197">
            <v>336974.39999999997</v>
          </cell>
        </row>
        <row r="198">
          <cell r="C198" t="str">
            <v>b/ Nh©n c«ng:</v>
          </cell>
        </row>
        <row r="199">
          <cell r="B199" t="str">
            <v>03.1113</v>
          </cell>
          <cell r="C199" t="str">
            <v>§µo ®Êt hè mãng ®Êt cÊp 3</v>
          </cell>
          <cell r="D199" t="str">
            <v>m3</v>
          </cell>
          <cell r="E199">
            <v>1.68</v>
          </cell>
          <cell r="F199">
            <v>1</v>
          </cell>
          <cell r="H199">
            <v>24428</v>
          </cell>
          <cell r="I199">
            <v>1</v>
          </cell>
          <cell r="K199">
            <v>41039.040000000001</v>
          </cell>
        </row>
        <row r="200">
          <cell r="B200" t="str">
            <v xml:space="preserve">ChiÕt tÝnh </v>
          </cell>
          <cell r="C200" t="str">
            <v>§æ bª t«ng ®óc mãng M100</v>
          </cell>
          <cell r="D200" t="str">
            <v>m3</v>
          </cell>
          <cell r="E200">
            <v>1.68</v>
          </cell>
          <cell r="F200">
            <v>1</v>
          </cell>
          <cell r="H200">
            <v>45030</v>
          </cell>
          <cell r="I200">
            <v>1</v>
          </cell>
          <cell r="K200">
            <v>75650.399999999994</v>
          </cell>
        </row>
        <row r="202">
          <cell r="C202" t="str">
            <v>III/ ®¬n gi¸ c¸c lo¹i cét</v>
          </cell>
        </row>
        <row r="203">
          <cell r="A203" t="str">
            <v>LT12C</v>
          </cell>
          <cell r="C203" t="str">
            <v xml:space="preserve"> Cét bª t«ng  LT - 12C</v>
          </cell>
          <cell r="J203">
            <v>2331308.3640000001</v>
          </cell>
          <cell r="K203">
            <v>187897.15</v>
          </cell>
        </row>
        <row r="204">
          <cell r="C204" t="str">
            <v>a.VËt liÖu</v>
          </cell>
        </row>
        <row r="205">
          <cell r="C205" t="str">
            <v>Cét LT - 12C</v>
          </cell>
          <cell r="D205" t="str">
            <v>cét</v>
          </cell>
          <cell r="E205">
            <v>1</v>
          </cell>
          <cell r="F205">
            <v>1.002</v>
          </cell>
          <cell r="G205">
            <v>2318182</v>
          </cell>
          <cell r="J205">
            <v>2322818.3640000001</v>
          </cell>
        </row>
        <row r="206">
          <cell r="B206" t="str">
            <v>05.5213</v>
          </cell>
          <cell r="C206" t="str">
            <v xml:space="preserve">VËt liÖu phô cho c«ng t¸c dùng cét </v>
          </cell>
          <cell r="D206" t="str">
            <v>cét</v>
          </cell>
          <cell r="E206">
            <v>1</v>
          </cell>
          <cell r="F206">
            <v>1</v>
          </cell>
          <cell r="G206">
            <v>8490</v>
          </cell>
          <cell r="J206">
            <v>8490</v>
          </cell>
        </row>
        <row r="207">
          <cell r="C207" t="str">
            <v>b.Nh©n c«ng</v>
          </cell>
        </row>
        <row r="208">
          <cell r="B208" t="str">
            <v>05.5213</v>
          </cell>
          <cell r="C208" t="str">
            <v xml:space="preserve">Dùng cét LT-12m </v>
          </cell>
          <cell r="D208" t="str">
            <v>cét</v>
          </cell>
          <cell r="E208">
            <v>1</v>
          </cell>
          <cell r="F208">
            <v>1</v>
          </cell>
          <cell r="H208">
            <v>86293</v>
          </cell>
          <cell r="I208">
            <v>1</v>
          </cell>
          <cell r="K208">
            <v>86293</v>
          </cell>
        </row>
        <row r="209">
          <cell r="B209" t="str">
            <v>02.1462</v>
          </cell>
          <cell r="C209" t="str">
            <v>VËn chuyÓn thñ c«ng cét bª t«ng xa 300 m</v>
          </cell>
          <cell r="D209" t="str">
            <v>tÊn</v>
          </cell>
          <cell r="E209">
            <v>1.2</v>
          </cell>
          <cell r="F209">
            <v>1</v>
          </cell>
          <cell r="H209">
            <v>46869.5</v>
          </cell>
          <cell r="I209">
            <v>1</v>
          </cell>
          <cell r="K209">
            <v>56243.4</v>
          </cell>
        </row>
        <row r="210">
          <cell r="B210" t="str">
            <v>02.1482</v>
          </cell>
          <cell r="C210" t="str">
            <v xml:space="preserve">V/C dông cô thi c«ng cét </v>
          </cell>
          <cell r="D210" t="str">
            <v>tÊn</v>
          </cell>
          <cell r="E210">
            <v>1.5</v>
          </cell>
          <cell r="F210">
            <v>1</v>
          </cell>
          <cell r="H210">
            <v>30240.5</v>
          </cell>
          <cell r="I210">
            <v>1</v>
          </cell>
          <cell r="K210">
            <v>45360.75</v>
          </cell>
        </row>
        <row r="212">
          <cell r="A212" t="str">
            <v>LT12B</v>
          </cell>
          <cell r="C212" t="str">
            <v xml:space="preserve"> Cét bª t«ng LT-12B</v>
          </cell>
          <cell r="J212">
            <v>1501470</v>
          </cell>
          <cell r="K212">
            <v>187897.15</v>
          </cell>
        </row>
        <row r="213">
          <cell r="C213" t="str">
            <v>a.VËt liÖu</v>
          </cell>
        </row>
        <row r="214">
          <cell r="C214" t="str">
            <v>Cét LT-12B</v>
          </cell>
          <cell r="D214" t="str">
            <v>cét</v>
          </cell>
          <cell r="E214">
            <v>1</v>
          </cell>
          <cell r="F214">
            <v>1.002</v>
          </cell>
          <cell r="G214">
            <v>1490000</v>
          </cell>
          <cell r="J214">
            <v>1492980</v>
          </cell>
        </row>
        <row r="215">
          <cell r="B215" t="str">
            <v>05.5213</v>
          </cell>
          <cell r="C215" t="str">
            <v xml:space="preserve">VËt liÖu phô cho c«ng t¸c dùng cét </v>
          </cell>
          <cell r="D215" t="str">
            <v>cét</v>
          </cell>
          <cell r="E215">
            <v>1</v>
          </cell>
          <cell r="F215">
            <v>1</v>
          </cell>
          <cell r="G215">
            <v>8490</v>
          </cell>
          <cell r="J215">
            <v>8490</v>
          </cell>
        </row>
        <row r="216">
          <cell r="C216" t="str">
            <v>b.Nh©n c«ng</v>
          </cell>
        </row>
        <row r="217">
          <cell r="B217" t="str">
            <v>05.5213</v>
          </cell>
          <cell r="C217" t="str">
            <v xml:space="preserve">Dùng cét LT-12m </v>
          </cell>
          <cell r="D217" t="str">
            <v>cét</v>
          </cell>
          <cell r="E217">
            <v>1</v>
          </cell>
          <cell r="F217">
            <v>1</v>
          </cell>
          <cell r="H217">
            <v>86293</v>
          </cell>
          <cell r="I217">
            <v>1</v>
          </cell>
          <cell r="K217">
            <v>86293</v>
          </cell>
        </row>
        <row r="218">
          <cell r="B218" t="str">
            <v>02.1462</v>
          </cell>
          <cell r="C218" t="str">
            <v>VËn chuyÓn thñ c«ng cét bª t«ng cù ly 300 m</v>
          </cell>
          <cell r="D218" t="str">
            <v>tÊn</v>
          </cell>
          <cell r="E218">
            <v>1.2</v>
          </cell>
          <cell r="F218">
            <v>1</v>
          </cell>
          <cell r="H218">
            <v>46869.5</v>
          </cell>
          <cell r="I218">
            <v>1</v>
          </cell>
          <cell r="K218">
            <v>56243.4</v>
          </cell>
        </row>
        <row r="219">
          <cell r="B219" t="str">
            <v>02.1482</v>
          </cell>
          <cell r="C219" t="str">
            <v>V/C   dông cô thi c«ng 300m</v>
          </cell>
          <cell r="D219" t="str">
            <v>tÊn</v>
          </cell>
          <cell r="E219">
            <v>1.5</v>
          </cell>
          <cell r="F219">
            <v>1</v>
          </cell>
          <cell r="H219">
            <v>30240.5</v>
          </cell>
          <cell r="I219">
            <v>1</v>
          </cell>
          <cell r="K219">
            <v>45360.75</v>
          </cell>
        </row>
        <row r="221">
          <cell r="A221" t="str">
            <v>LT16B</v>
          </cell>
          <cell r="C221" t="str">
            <v xml:space="preserve"> Cét bª t«ng LT-16B</v>
          </cell>
          <cell r="J221">
            <v>4068806.91</v>
          </cell>
          <cell r="K221">
            <v>291574.90000000002</v>
          </cell>
        </row>
        <row r="222">
          <cell r="C222" t="str">
            <v>a. VËt liÖu</v>
          </cell>
        </row>
        <row r="223">
          <cell r="C223" t="str">
            <v>Cét LT-16B</v>
          </cell>
          <cell r="D223" t="str">
            <v>cét</v>
          </cell>
          <cell r="E223">
            <v>1</v>
          </cell>
          <cell r="F223">
            <v>1.002</v>
          </cell>
          <cell r="G223">
            <v>4045455</v>
          </cell>
          <cell r="I223">
            <v>1</v>
          </cell>
          <cell r="J223">
            <v>4053545.91</v>
          </cell>
        </row>
        <row r="224">
          <cell r="B224" t="str">
            <v>05.5215</v>
          </cell>
          <cell r="C224" t="str">
            <v>VËt liÖu phô dùng cét</v>
          </cell>
          <cell r="D224" t="str">
            <v>cét</v>
          </cell>
          <cell r="E224">
            <v>1</v>
          </cell>
          <cell r="F224">
            <v>1</v>
          </cell>
          <cell r="G224">
            <v>9854</v>
          </cell>
          <cell r="I224">
            <v>1</v>
          </cell>
          <cell r="J224">
            <v>9854</v>
          </cell>
        </row>
        <row r="225">
          <cell r="B225" t="str">
            <v>05.5101</v>
          </cell>
          <cell r="C225" t="str">
            <v>VËt liÖu phô l¾p mÆt bÝch</v>
          </cell>
          <cell r="D225" t="str">
            <v>mèi</v>
          </cell>
          <cell r="E225">
            <v>1</v>
          </cell>
          <cell r="F225">
            <v>1</v>
          </cell>
          <cell r="G225">
            <v>5407</v>
          </cell>
          <cell r="I225">
            <v>1</v>
          </cell>
          <cell r="J225">
            <v>5407</v>
          </cell>
        </row>
        <row r="226">
          <cell r="C226" t="str">
            <v>b.Nh©n c«ng</v>
          </cell>
        </row>
        <row r="227">
          <cell r="B227" t="str">
            <v>05.5215</v>
          </cell>
          <cell r="C227" t="str">
            <v xml:space="preserve">Dùng cét LT-16m </v>
          </cell>
          <cell r="D227" t="str">
            <v>cét</v>
          </cell>
          <cell r="E227">
            <v>1</v>
          </cell>
          <cell r="F227">
            <v>1</v>
          </cell>
          <cell r="H227">
            <v>116844</v>
          </cell>
          <cell r="I227">
            <v>1</v>
          </cell>
          <cell r="K227">
            <v>116844</v>
          </cell>
        </row>
        <row r="228">
          <cell r="B228" t="str">
            <v>02.1462</v>
          </cell>
          <cell r="C228" t="str">
            <v>VËn chuyÓn thñ c«ng cét bª t«ng xa 300 m</v>
          </cell>
          <cell r="D228" t="str">
            <v>tÊn</v>
          </cell>
          <cell r="E228">
            <v>1.72</v>
          </cell>
          <cell r="F228">
            <v>1</v>
          </cell>
          <cell r="H228">
            <v>46870</v>
          </cell>
          <cell r="I228">
            <v>1</v>
          </cell>
          <cell r="K228">
            <v>80616.399999999994</v>
          </cell>
        </row>
        <row r="229">
          <cell r="B229" t="str">
            <v>05.5101</v>
          </cell>
          <cell r="C229" t="str">
            <v xml:space="preserve">Nèi cét bª t«ng b»ng mÆt bÝch </v>
          </cell>
          <cell r="D229" t="str">
            <v>mèi</v>
          </cell>
          <cell r="E229">
            <v>1</v>
          </cell>
          <cell r="F229">
            <v>1</v>
          </cell>
          <cell r="H229">
            <v>48753</v>
          </cell>
          <cell r="I229">
            <v>1</v>
          </cell>
          <cell r="K229">
            <v>48753</v>
          </cell>
        </row>
        <row r="230">
          <cell r="B230" t="str">
            <v>02.1482</v>
          </cell>
          <cell r="C230" t="str">
            <v>V/C   dông cô thi c«ng 300m</v>
          </cell>
          <cell r="D230" t="str">
            <v>tÊn</v>
          </cell>
          <cell r="E230">
            <v>1.5</v>
          </cell>
          <cell r="F230">
            <v>1</v>
          </cell>
          <cell r="H230">
            <v>30241</v>
          </cell>
          <cell r="I230">
            <v>1</v>
          </cell>
          <cell r="K230">
            <v>45361.5</v>
          </cell>
        </row>
        <row r="232">
          <cell r="A232" t="str">
            <v>LT16C</v>
          </cell>
          <cell r="C232" t="str">
            <v xml:space="preserve"> Cét bª t«ng LT-16C</v>
          </cell>
          <cell r="J232">
            <v>4241879.3640000001</v>
          </cell>
          <cell r="K232">
            <v>291574.90000000002</v>
          </cell>
        </row>
        <row r="233">
          <cell r="C233" t="str">
            <v>a. VËt liÖu</v>
          </cell>
        </row>
        <row r="234">
          <cell r="C234" t="str">
            <v>Cét LT-16C</v>
          </cell>
          <cell r="D234" t="str">
            <v>cét</v>
          </cell>
          <cell r="E234">
            <v>1</v>
          </cell>
          <cell r="F234">
            <v>1.002</v>
          </cell>
          <cell r="G234">
            <v>4218182</v>
          </cell>
          <cell r="I234">
            <v>1</v>
          </cell>
          <cell r="J234">
            <v>4226618.3640000001</v>
          </cell>
        </row>
        <row r="235">
          <cell r="B235" t="str">
            <v>05.5215</v>
          </cell>
          <cell r="C235" t="str">
            <v>VËt liÖu phô dùng cét</v>
          </cell>
          <cell r="D235" t="str">
            <v>cét</v>
          </cell>
          <cell r="E235">
            <v>1</v>
          </cell>
          <cell r="F235">
            <v>1</v>
          </cell>
          <cell r="G235">
            <v>9854</v>
          </cell>
          <cell r="I235">
            <v>1</v>
          </cell>
          <cell r="J235">
            <v>9854</v>
          </cell>
        </row>
        <row r="236">
          <cell r="B236" t="str">
            <v>05.5101</v>
          </cell>
          <cell r="C236" t="str">
            <v>VËt liÖu phô l¾p mÆt bÝch</v>
          </cell>
          <cell r="D236" t="str">
            <v>mèi</v>
          </cell>
          <cell r="E236">
            <v>1</v>
          </cell>
          <cell r="F236">
            <v>1</v>
          </cell>
          <cell r="G236">
            <v>5407</v>
          </cell>
          <cell r="I236">
            <v>1</v>
          </cell>
          <cell r="J236">
            <v>5407</v>
          </cell>
        </row>
        <row r="237">
          <cell r="C237" t="str">
            <v>b.Nh©n c«ng</v>
          </cell>
        </row>
        <row r="238">
          <cell r="B238" t="str">
            <v>05.5215</v>
          </cell>
          <cell r="C238" t="str">
            <v xml:space="preserve">Dùng cét LT-16m </v>
          </cell>
          <cell r="D238" t="str">
            <v>cét</v>
          </cell>
          <cell r="E238">
            <v>1</v>
          </cell>
          <cell r="F238">
            <v>1</v>
          </cell>
          <cell r="H238">
            <v>116844</v>
          </cell>
          <cell r="I238">
            <v>1</v>
          </cell>
          <cell r="K238">
            <v>116844</v>
          </cell>
        </row>
        <row r="239">
          <cell r="B239" t="str">
            <v>02.1462</v>
          </cell>
          <cell r="C239" t="str">
            <v>VËn chuyÓn thñ c«ng cét bª t«ng xa 300 m</v>
          </cell>
          <cell r="D239" t="str">
            <v>tÊn</v>
          </cell>
          <cell r="E239">
            <v>1.72</v>
          </cell>
          <cell r="F239">
            <v>1</v>
          </cell>
          <cell r="H239">
            <v>46870</v>
          </cell>
          <cell r="I239">
            <v>1</v>
          </cell>
          <cell r="K239">
            <v>80616.399999999994</v>
          </cell>
        </row>
        <row r="240">
          <cell r="B240" t="str">
            <v>05.5101</v>
          </cell>
          <cell r="C240" t="str">
            <v xml:space="preserve">Nèi cét bª t«ng b»ng mÆt bÝch </v>
          </cell>
          <cell r="D240" t="str">
            <v>mèi</v>
          </cell>
          <cell r="E240">
            <v>1</v>
          </cell>
          <cell r="F240">
            <v>1</v>
          </cell>
          <cell r="H240">
            <v>48753</v>
          </cell>
          <cell r="I240">
            <v>1</v>
          </cell>
          <cell r="K240">
            <v>48753</v>
          </cell>
        </row>
        <row r="241">
          <cell r="B241" t="str">
            <v>02.1482</v>
          </cell>
          <cell r="C241" t="str">
            <v>V/C   dông cô thi c«ng 300m</v>
          </cell>
          <cell r="D241" t="str">
            <v>tÊn</v>
          </cell>
          <cell r="E241">
            <v>1.5</v>
          </cell>
          <cell r="F241">
            <v>1</v>
          </cell>
          <cell r="H241">
            <v>30241</v>
          </cell>
          <cell r="I241">
            <v>1</v>
          </cell>
          <cell r="K241">
            <v>45361.5</v>
          </cell>
        </row>
        <row r="243">
          <cell r="A243" t="str">
            <v>LT18B</v>
          </cell>
          <cell r="C243" t="str">
            <v xml:space="preserve"> Cét bª t«ng LT-18B</v>
          </cell>
          <cell r="J243">
            <v>4433170.182</v>
          </cell>
          <cell r="K243">
            <v>327001.90000000002</v>
          </cell>
        </row>
        <row r="244">
          <cell r="C244" t="str">
            <v>a. VËt liÖu</v>
          </cell>
        </row>
        <row r="245">
          <cell r="C245" t="str">
            <v>Cét LT-18B</v>
          </cell>
          <cell r="D245" t="str">
            <v>cét</v>
          </cell>
          <cell r="E245">
            <v>1</v>
          </cell>
          <cell r="F245">
            <v>1.002</v>
          </cell>
          <cell r="G245">
            <v>4409091</v>
          </cell>
          <cell r="I245">
            <v>1</v>
          </cell>
          <cell r="J245">
            <v>4417909.182</v>
          </cell>
        </row>
        <row r="246">
          <cell r="B246" t="str">
            <v>05.5216</v>
          </cell>
          <cell r="C246" t="str">
            <v>VËt liÖu phô dùng cét</v>
          </cell>
          <cell r="D246" t="str">
            <v>cét</v>
          </cell>
          <cell r="E246">
            <v>1</v>
          </cell>
          <cell r="F246">
            <v>1</v>
          </cell>
          <cell r="G246">
            <v>9854</v>
          </cell>
          <cell r="I246">
            <v>1</v>
          </cell>
          <cell r="J246">
            <v>9854</v>
          </cell>
        </row>
        <row r="247">
          <cell r="B247" t="str">
            <v>05.5101</v>
          </cell>
          <cell r="C247" t="str">
            <v>VËt liÖu phô l¾p mÆt bÝch</v>
          </cell>
          <cell r="D247" t="str">
            <v>mèi</v>
          </cell>
          <cell r="E247">
            <v>1</v>
          </cell>
          <cell r="F247">
            <v>1</v>
          </cell>
          <cell r="G247">
            <v>5407</v>
          </cell>
          <cell r="I247">
            <v>1</v>
          </cell>
          <cell r="J247">
            <v>5407</v>
          </cell>
        </row>
        <row r="248">
          <cell r="C248" t="str">
            <v>b.Nh©n c«ng</v>
          </cell>
        </row>
        <row r="249">
          <cell r="B249" t="str">
            <v>05.5216</v>
          </cell>
          <cell r="C249" t="str">
            <v xml:space="preserve">Dùng cét LT-18m </v>
          </cell>
          <cell r="D249" t="str">
            <v>cét</v>
          </cell>
          <cell r="E249">
            <v>1</v>
          </cell>
          <cell r="F249">
            <v>1</v>
          </cell>
          <cell r="H249">
            <v>152271</v>
          </cell>
          <cell r="I249">
            <v>1</v>
          </cell>
          <cell r="K249">
            <v>152271</v>
          </cell>
        </row>
        <row r="250">
          <cell r="B250" t="str">
            <v>02.1462</v>
          </cell>
          <cell r="C250" t="str">
            <v>VËn chuyÓn thñ c«ng cét bª t«ng xa 300 m</v>
          </cell>
          <cell r="D250" t="str">
            <v>tÊn</v>
          </cell>
          <cell r="E250">
            <v>1.72</v>
          </cell>
          <cell r="F250">
            <v>1</v>
          </cell>
          <cell r="H250">
            <v>46870</v>
          </cell>
          <cell r="I250">
            <v>1</v>
          </cell>
          <cell r="K250">
            <v>80616.399999999994</v>
          </cell>
        </row>
        <row r="251">
          <cell r="B251" t="str">
            <v>05.5101</v>
          </cell>
          <cell r="C251" t="str">
            <v xml:space="preserve">Nèi cét bª t«ng b»ng mÆt bÝch </v>
          </cell>
          <cell r="D251" t="str">
            <v>mèi</v>
          </cell>
          <cell r="E251">
            <v>1</v>
          </cell>
          <cell r="F251">
            <v>1</v>
          </cell>
          <cell r="H251">
            <v>48753</v>
          </cell>
          <cell r="I251">
            <v>1</v>
          </cell>
          <cell r="K251">
            <v>48753</v>
          </cell>
        </row>
        <row r="252">
          <cell r="B252" t="str">
            <v>02.1482</v>
          </cell>
          <cell r="C252" t="str">
            <v>V/C dông cô thi c«ng 300m</v>
          </cell>
          <cell r="D252" t="str">
            <v>tÊn</v>
          </cell>
          <cell r="E252">
            <v>1.5</v>
          </cell>
          <cell r="F252">
            <v>1</v>
          </cell>
          <cell r="H252">
            <v>30241</v>
          </cell>
          <cell r="I252">
            <v>1</v>
          </cell>
          <cell r="K252">
            <v>45361.5</v>
          </cell>
        </row>
        <row r="254">
          <cell r="A254" t="str">
            <v>LT20B</v>
          </cell>
          <cell r="C254" t="str">
            <v>Cét bª t«ng LT-20B</v>
          </cell>
          <cell r="J254">
            <v>5152788.5460000001</v>
          </cell>
          <cell r="K254">
            <v>352190.9</v>
          </cell>
        </row>
        <row r="255">
          <cell r="C255" t="str">
            <v>a. VËt liÖu</v>
          </cell>
        </row>
        <row r="256">
          <cell r="C256" t="str">
            <v>Cét LT-20B</v>
          </cell>
          <cell r="D256" t="str">
            <v>cét</v>
          </cell>
          <cell r="E256">
            <v>1</v>
          </cell>
          <cell r="F256">
            <v>1.002</v>
          </cell>
          <cell r="G256">
            <v>5127273</v>
          </cell>
          <cell r="I256">
            <v>1</v>
          </cell>
          <cell r="J256">
            <v>5137527.5460000001</v>
          </cell>
        </row>
        <row r="257">
          <cell r="B257" t="str">
            <v>05.5217</v>
          </cell>
          <cell r="C257" t="str">
            <v>VËt liÖu phô dùng cét</v>
          </cell>
          <cell r="D257" t="str">
            <v>cét</v>
          </cell>
          <cell r="E257">
            <v>1</v>
          </cell>
          <cell r="F257">
            <v>1</v>
          </cell>
          <cell r="G257">
            <v>9854</v>
          </cell>
          <cell r="I257">
            <v>1</v>
          </cell>
          <cell r="J257">
            <v>9854</v>
          </cell>
        </row>
        <row r="258">
          <cell r="B258" t="str">
            <v>05.5101</v>
          </cell>
          <cell r="C258" t="str">
            <v>VËt liÖu phô l¾p mÆt bÝch</v>
          </cell>
          <cell r="D258" t="str">
            <v>mèi</v>
          </cell>
          <cell r="E258">
            <v>1</v>
          </cell>
          <cell r="F258">
            <v>1</v>
          </cell>
          <cell r="G258">
            <v>5407</v>
          </cell>
          <cell r="I258">
            <v>1</v>
          </cell>
          <cell r="J258">
            <v>5407</v>
          </cell>
        </row>
        <row r="259">
          <cell r="C259" t="str">
            <v>b.Nh©n c«ng</v>
          </cell>
        </row>
        <row r="260">
          <cell r="B260" t="str">
            <v>05.5217</v>
          </cell>
          <cell r="C260" t="str">
            <v xml:space="preserve">Dùng cét LT-20m </v>
          </cell>
          <cell r="D260" t="str">
            <v>cét</v>
          </cell>
          <cell r="E260">
            <v>1</v>
          </cell>
          <cell r="F260">
            <v>1</v>
          </cell>
          <cell r="H260">
            <v>177460</v>
          </cell>
          <cell r="I260">
            <v>1</v>
          </cell>
          <cell r="K260">
            <v>177460</v>
          </cell>
        </row>
        <row r="261">
          <cell r="B261" t="str">
            <v>02.1462</v>
          </cell>
          <cell r="C261" t="str">
            <v>VËn chuyÓn thñ c«ng cét bª t«ng xa 300 m</v>
          </cell>
          <cell r="D261" t="str">
            <v>tÊn</v>
          </cell>
          <cell r="E261">
            <v>1.72</v>
          </cell>
          <cell r="F261">
            <v>1</v>
          </cell>
          <cell r="H261">
            <v>46870</v>
          </cell>
          <cell r="I261">
            <v>1</v>
          </cell>
          <cell r="K261">
            <v>80616.399999999994</v>
          </cell>
        </row>
        <row r="262">
          <cell r="B262" t="str">
            <v>05.5101</v>
          </cell>
          <cell r="C262" t="str">
            <v xml:space="preserve">Nèi cét bª t«ng b»ng mÆt bÝch </v>
          </cell>
          <cell r="D262" t="str">
            <v>mèi</v>
          </cell>
          <cell r="E262">
            <v>1</v>
          </cell>
          <cell r="F262">
            <v>1</v>
          </cell>
          <cell r="H262">
            <v>48753</v>
          </cell>
          <cell r="I262">
            <v>1</v>
          </cell>
          <cell r="K262">
            <v>48753</v>
          </cell>
        </row>
        <row r="263">
          <cell r="B263" t="str">
            <v>02.1482</v>
          </cell>
          <cell r="C263" t="str">
            <v>V/C   dông cô thi c«ng 300m</v>
          </cell>
          <cell r="D263" t="str">
            <v>tÊn</v>
          </cell>
          <cell r="E263">
            <v>1.5</v>
          </cell>
          <cell r="F263">
            <v>1</v>
          </cell>
          <cell r="H263">
            <v>30241</v>
          </cell>
          <cell r="I263">
            <v>1</v>
          </cell>
          <cell r="K263">
            <v>45361.5</v>
          </cell>
        </row>
        <row r="265">
          <cell r="A265" t="str">
            <v>LT10B</v>
          </cell>
          <cell r="C265" t="str">
            <v xml:space="preserve"> Cét bª t«ng  LT - 10B</v>
          </cell>
          <cell r="J265">
            <v>1046926.728</v>
          </cell>
          <cell r="K265">
            <v>182209.15</v>
          </cell>
        </row>
        <row r="266">
          <cell r="C266" t="str">
            <v>a.VËt liÖu</v>
          </cell>
        </row>
        <row r="267">
          <cell r="C267" t="str">
            <v>Cét LT - 10B</v>
          </cell>
          <cell r="D267" t="str">
            <v>cét</v>
          </cell>
          <cell r="E267">
            <v>1</v>
          </cell>
          <cell r="F267">
            <v>1.002</v>
          </cell>
          <cell r="G267">
            <v>1036364</v>
          </cell>
          <cell r="J267">
            <v>1038436.728</v>
          </cell>
        </row>
        <row r="268">
          <cell r="B268" t="str">
            <v>05.5212</v>
          </cell>
          <cell r="C268" t="str">
            <v xml:space="preserve">VËt liÖu phô cho c«ng t¸c dùng cét </v>
          </cell>
          <cell r="D268" t="str">
            <v>cét</v>
          </cell>
          <cell r="E268">
            <v>1</v>
          </cell>
          <cell r="F268">
            <v>1</v>
          </cell>
          <cell r="G268">
            <v>8490</v>
          </cell>
          <cell r="J268">
            <v>8490</v>
          </cell>
        </row>
        <row r="269">
          <cell r="C269" t="str">
            <v>b.Nh©n c«ng</v>
          </cell>
        </row>
        <row r="270">
          <cell r="B270" t="str">
            <v>05.5212</v>
          </cell>
          <cell r="C270" t="str">
            <v xml:space="preserve">Dùng cét LT-10m </v>
          </cell>
          <cell r="D270" t="str">
            <v>cét</v>
          </cell>
          <cell r="E270">
            <v>1</v>
          </cell>
          <cell r="F270">
            <v>1</v>
          </cell>
          <cell r="H270">
            <v>80605</v>
          </cell>
          <cell r="I270">
            <v>1</v>
          </cell>
          <cell r="K270">
            <v>80605</v>
          </cell>
        </row>
        <row r="271">
          <cell r="B271" t="str">
            <v>02.1462</v>
          </cell>
          <cell r="C271" t="str">
            <v>VËn chuyÓn thñ c«ng cét bª t«ng xa 300 m</v>
          </cell>
          <cell r="D271" t="str">
            <v>tÊn</v>
          </cell>
          <cell r="E271">
            <v>1.2</v>
          </cell>
          <cell r="F271">
            <v>1</v>
          </cell>
          <cell r="H271">
            <v>46869.5</v>
          </cell>
          <cell r="I271">
            <v>1</v>
          </cell>
          <cell r="K271">
            <v>56243.4</v>
          </cell>
        </row>
        <row r="272">
          <cell r="B272" t="str">
            <v>02.1482</v>
          </cell>
          <cell r="C272" t="str">
            <v xml:space="preserve">V/C dông cô thi c«ng cét </v>
          </cell>
          <cell r="D272" t="str">
            <v>tÊn</v>
          </cell>
          <cell r="E272">
            <v>1.5</v>
          </cell>
          <cell r="F272">
            <v>1</v>
          </cell>
          <cell r="H272">
            <v>30240.5</v>
          </cell>
          <cell r="I272">
            <v>1</v>
          </cell>
          <cell r="K272">
            <v>45360.75</v>
          </cell>
        </row>
        <row r="274">
          <cell r="A274" t="str">
            <v>H7,5B</v>
          </cell>
          <cell r="C274" t="str">
            <v xml:space="preserve"> Cét bª t«ng  H- 7,5B</v>
          </cell>
          <cell r="J274">
            <v>509490</v>
          </cell>
          <cell r="K274">
            <v>80605</v>
          </cell>
        </row>
        <row r="275">
          <cell r="C275" t="str">
            <v>a.VËt liÖu</v>
          </cell>
        </row>
        <row r="276">
          <cell r="C276" t="str">
            <v>Cét H - 7,5B</v>
          </cell>
          <cell r="D276" t="str">
            <v>cét</v>
          </cell>
          <cell r="E276">
            <v>1</v>
          </cell>
          <cell r="F276">
            <v>1.002</v>
          </cell>
          <cell r="G276">
            <v>500000</v>
          </cell>
          <cell r="J276">
            <v>501000</v>
          </cell>
        </row>
        <row r="277">
          <cell r="B277" t="str">
            <v>05.5212</v>
          </cell>
          <cell r="C277" t="str">
            <v xml:space="preserve">VËt liÖu phô cho c«ng t¸c dùng cét </v>
          </cell>
          <cell r="D277" t="str">
            <v>cét</v>
          </cell>
          <cell r="E277">
            <v>1</v>
          </cell>
          <cell r="F277">
            <v>1</v>
          </cell>
          <cell r="G277">
            <v>8490</v>
          </cell>
          <cell r="J277">
            <v>8490</v>
          </cell>
        </row>
        <row r="278">
          <cell r="C278" t="str">
            <v>b.Nh©n c«ng</v>
          </cell>
        </row>
        <row r="279">
          <cell r="B279" t="str">
            <v>05.5212</v>
          </cell>
          <cell r="C279" t="str">
            <v xml:space="preserve">Dùng cét H-7,5m </v>
          </cell>
          <cell r="D279" t="str">
            <v>cét</v>
          </cell>
          <cell r="E279">
            <v>1</v>
          </cell>
          <cell r="F279">
            <v>1</v>
          </cell>
          <cell r="H279">
            <v>80605</v>
          </cell>
          <cell r="I279">
            <v>1</v>
          </cell>
          <cell r="K279">
            <v>80605</v>
          </cell>
        </row>
        <row r="281">
          <cell r="A281" t="str">
            <v>H7,5C</v>
          </cell>
          <cell r="C281" t="str">
            <v xml:space="preserve"> Cét bª t«ng  H- 7,5C</v>
          </cell>
          <cell r="J281">
            <v>609690</v>
          </cell>
          <cell r="K281">
            <v>80605</v>
          </cell>
        </row>
        <row r="282">
          <cell r="C282" t="str">
            <v>a.VËt liÖu</v>
          </cell>
        </row>
        <row r="283">
          <cell r="C283" t="str">
            <v>Cét H - 7,5C</v>
          </cell>
          <cell r="D283" t="str">
            <v>cét</v>
          </cell>
          <cell r="E283">
            <v>1</v>
          </cell>
          <cell r="F283">
            <v>1.002</v>
          </cell>
          <cell r="G283">
            <v>600000</v>
          </cell>
          <cell r="J283">
            <v>601200</v>
          </cell>
        </row>
        <row r="284">
          <cell r="B284" t="str">
            <v>05.5212</v>
          </cell>
          <cell r="C284" t="str">
            <v xml:space="preserve">VËt liÖu phô cho c«ng t¸c dùng cét </v>
          </cell>
          <cell r="D284" t="str">
            <v>cét</v>
          </cell>
          <cell r="E284">
            <v>1</v>
          </cell>
          <cell r="F284">
            <v>1</v>
          </cell>
          <cell r="G284">
            <v>8490</v>
          </cell>
          <cell r="J284">
            <v>8490</v>
          </cell>
        </row>
        <row r="285">
          <cell r="C285" t="str">
            <v>b.Nh©n c«ng</v>
          </cell>
        </row>
        <row r="286">
          <cell r="B286" t="str">
            <v>05.5212</v>
          </cell>
          <cell r="C286" t="str">
            <v xml:space="preserve">Dùng cét H-7,5m </v>
          </cell>
          <cell r="D286" t="str">
            <v>cét</v>
          </cell>
          <cell r="E286">
            <v>1</v>
          </cell>
          <cell r="F286">
            <v>1</v>
          </cell>
          <cell r="H286">
            <v>80605</v>
          </cell>
          <cell r="I286">
            <v>1</v>
          </cell>
          <cell r="K286">
            <v>80605</v>
          </cell>
        </row>
        <row r="288">
          <cell r="A288" t="str">
            <v>H8,5B</v>
          </cell>
          <cell r="C288" t="str">
            <v xml:space="preserve"> Cét bª t«ng  H- 8,5B</v>
          </cell>
          <cell r="J288">
            <v>573253.272</v>
          </cell>
          <cell r="K288">
            <v>80605</v>
          </cell>
        </row>
        <row r="289">
          <cell r="C289" t="str">
            <v>a.VËt liÖu</v>
          </cell>
        </row>
        <row r="290">
          <cell r="C290" t="str">
            <v>Cét H - 8,5B</v>
          </cell>
          <cell r="D290" t="str">
            <v>cét</v>
          </cell>
          <cell r="E290">
            <v>1</v>
          </cell>
          <cell r="F290">
            <v>1.002</v>
          </cell>
          <cell r="G290">
            <v>563636</v>
          </cell>
          <cell r="J290">
            <v>564763.272</v>
          </cell>
        </row>
        <row r="291">
          <cell r="B291" t="str">
            <v>05.5212</v>
          </cell>
          <cell r="C291" t="str">
            <v xml:space="preserve">VËt liÖu phô cho c«ng t¸c dùng cét </v>
          </cell>
          <cell r="D291" t="str">
            <v>cét</v>
          </cell>
          <cell r="E291">
            <v>1</v>
          </cell>
          <cell r="F291">
            <v>1</v>
          </cell>
          <cell r="G291">
            <v>8490</v>
          </cell>
          <cell r="J291">
            <v>8490</v>
          </cell>
        </row>
        <row r="292">
          <cell r="C292" t="str">
            <v>b.Nh©n c«ng</v>
          </cell>
        </row>
        <row r="293">
          <cell r="B293" t="str">
            <v>05.5212</v>
          </cell>
          <cell r="C293" t="str">
            <v xml:space="preserve">Dùng cét H-8,5m </v>
          </cell>
          <cell r="D293" t="str">
            <v>cét</v>
          </cell>
          <cell r="E293">
            <v>1</v>
          </cell>
          <cell r="F293">
            <v>1</v>
          </cell>
          <cell r="H293">
            <v>80605</v>
          </cell>
          <cell r="I293">
            <v>1</v>
          </cell>
          <cell r="K293">
            <v>80605</v>
          </cell>
        </row>
        <row r="295">
          <cell r="A295" t="str">
            <v>H8,5C</v>
          </cell>
          <cell r="C295" t="str">
            <v xml:space="preserve"> Cét bª t«ng  H- 8,5C</v>
          </cell>
          <cell r="J295">
            <v>673453.272</v>
          </cell>
          <cell r="K295">
            <v>80605</v>
          </cell>
        </row>
        <row r="296">
          <cell r="C296" t="str">
            <v>a.VËt liÖu</v>
          </cell>
        </row>
        <row r="297">
          <cell r="C297" t="str">
            <v>Cét H - 8,5C</v>
          </cell>
          <cell r="D297" t="str">
            <v>cét</v>
          </cell>
          <cell r="E297">
            <v>1</v>
          </cell>
          <cell r="F297">
            <v>1.002</v>
          </cell>
          <cell r="G297">
            <v>663636</v>
          </cell>
          <cell r="J297">
            <v>664963.272</v>
          </cell>
        </row>
        <row r="298">
          <cell r="B298" t="str">
            <v>05.5212</v>
          </cell>
          <cell r="C298" t="str">
            <v xml:space="preserve">VËt liÖu phô cho c«ng t¸c dùng cét </v>
          </cell>
          <cell r="D298" t="str">
            <v>cét</v>
          </cell>
          <cell r="E298">
            <v>1</v>
          </cell>
          <cell r="F298">
            <v>1</v>
          </cell>
          <cell r="G298">
            <v>8490</v>
          </cell>
          <cell r="J298">
            <v>8490</v>
          </cell>
        </row>
        <row r="299">
          <cell r="C299" t="str">
            <v>b.Nh©n c«ng</v>
          </cell>
        </row>
        <row r="300">
          <cell r="B300" t="str">
            <v>05.5212</v>
          </cell>
          <cell r="C300" t="str">
            <v xml:space="preserve">Dùng cét H-8,5m </v>
          </cell>
          <cell r="D300" t="str">
            <v>cét</v>
          </cell>
          <cell r="E300">
            <v>1</v>
          </cell>
          <cell r="F300">
            <v>1</v>
          </cell>
          <cell r="H300">
            <v>80605</v>
          </cell>
          <cell r="I300">
            <v>1</v>
          </cell>
          <cell r="K300">
            <v>80605</v>
          </cell>
        </row>
        <row r="302">
          <cell r="C302" t="str">
            <v>IV/®¬n gi¸ c¸c lo¹i xµ ®z</v>
          </cell>
          <cell r="D302" t="str">
            <v xml:space="preserve">                                                                                                                                                                                                                                                               </v>
          </cell>
        </row>
        <row r="303">
          <cell r="C303" t="str">
            <v xml:space="preserve">tba vµ tiÕp ®Þa </v>
          </cell>
        </row>
        <row r="304">
          <cell r="A304" t="str">
            <v>Rh1</v>
          </cell>
          <cell r="C304" t="str">
            <v>TiÕp ®Þa Rh1</v>
          </cell>
          <cell r="J304">
            <v>177245.77499999999</v>
          </cell>
          <cell r="K304">
            <v>26151.5</v>
          </cell>
          <cell r="L304">
            <v>0</v>
          </cell>
          <cell r="M304">
            <v>0</v>
          </cell>
        </row>
        <row r="305">
          <cell r="C305" t="str">
            <v>a.VËt liÖu</v>
          </cell>
        </row>
        <row r="306">
          <cell r="C306" t="str">
            <v>S¾t d=4</v>
          </cell>
          <cell r="D306" t="str">
            <v>kg</v>
          </cell>
          <cell r="E306">
            <v>13.23</v>
          </cell>
          <cell r="F306">
            <v>1.0249999999999999</v>
          </cell>
          <cell r="G306">
            <v>4700</v>
          </cell>
          <cell r="J306">
            <v>63735.524999999994</v>
          </cell>
        </row>
        <row r="307">
          <cell r="C307" t="str">
            <v>S¾t F 12</v>
          </cell>
          <cell r="D307" t="str">
            <v>kg</v>
          </cell>
          <cell r="E307">
            <v>5.4</v>
          </cell>
          <cell r="F307">
            <v>1.0249999999999999</v>
          </cell>
          <cell r="G307">
            <v>4350</v>
          </cell>
          <cell r="J307">
            <v>24077.249999999996</v>
          </cell>
        </row>
        <row r="308">
          <cell r="C308" t="str">
            <v>S¾t L63x6</v>
          </cell>
          <cell r="D308" t="str">
            <v>kg</v>
          </cell>
          <cell r="E308">
            <v>14.3</v>
          </cell>
          <cell r="F308">
            <v>1.0249999999999999</v>
          </cell>
          <cell r="G308">
            <v>4800</v>
          </cell>
          <cell r="J308">
            <v>70356</v>
          </cell>
        </row>
        <row r="309">
          <cell r="C309" t="str">
            <v xml:space="preserve">S¬n </v>
          </cell>
          <cell r="D309" t="str">
            <v>kg</v>
          </cell>
          <cell r="E309">
            <v>2E-3</v>
          </cell>
          <cell r="F309">
            <v>1</v>
          </cell>
          <cell r="G309">
            <v>13500</v>
          </cell>
          <cell r="J309">
            <v>27</v>
          </cell>
        </row>
        <row r="310">
          <cell r="C310" t="str">
            <v xml:space="preserve">Que hµn </v>
          </cell>
          <cell r="D310" t="str">
            <v>kg</v>
          </cell>
          <cell r="E310">
            <v>0.3</v>
          </cell>
          <cell r="F310">
            <v>1</v>
          </cell>
          <cell r="G310">
            <v>6500</v>
          </cell>
          <cell r="J310">
            <v>1950</v>
          </cell>
        </row>
        <row r="311">
          <cell r="C311" t="str">
            <v xml:space="preserve">GhÝp nèi </v>
          </cell>
          <cell r="D311" t="str">
            <v xml:space="preserve">C¸i </v>
          </cell>
          <cell r="E311">
            <v>1</v>
          </cell>
          <cell r="F311">
            <v>1</v>
          </cell>
          <cell r="G311">
            <v>9000</v>
          </cell>
          <cell r="J311">
            <v>9000</v>
          </cell>
        </row>
        <row r="312">
          <cell r="C312" t="str">
            <v xml:space="preserve">èng nhùa luån d©y tiÕp ®Þa </v>
          </cell>
          <cell r="D312" t="str">
            <v>m</v>
          </cell>
          <cell r="E312">
            <v>3</v>
          </cell>
          <cell r="F312">
            <v>1</v>
          </cell>
          <cell r="G312">
            <v>2700</v>
          </cell>
          <cell r="J312">
            <v>8100</v>
          </cell>
        </row>
        <row r="313">
          <cell r="C313" t="str">
            <v xml:space="preserve">b/Nh©n c«ng </v>
          </cell>
        </row>
        <row r="314">
          <cell r="B314" t="str">
            <v>03.3101</v>
          </cell>
          <cell r="C314" t="str">
            <v xml:space="preserve">§µo ®Êt ch«n tiÕp ®Þa </v>
          </cell>
          <cell r="D314" t="str">
            <v>m3</v>
          </cell>
          <cell r="E314">
            <v>0.75</v>
          </cell>
          <cell r="H314">
            <v>21926</v>
          </cell>
          <cell r="I314">
            <v>1</v>
          </cell>
          <cell r="K314">
            <v>16444.5</v>
          </cell>
        </row>
        <row r="315">
          <cell r="B315" t="str">
            <v>05.8001</v>
          </cell>
          <cell r="C315" t="str">
            <v xml:space="preserve">S¶n xuÊt vµ ®ãng cäc tiÕp ®Þa </v>
          </cell>
          <cell r="D315" t="str">
            <v xml:space="preserve">cäc </v>
          </cell>
          <cell r="E315">
            <v>1</v>
          </cell>
          <cell r="H315">
            <v>6781</v>
          </cell>
          <cell r="I315">
            <v>1</v>
          </cell>
          <cell r="K315">
            <v>6781</v>
          </cell>
        </row>
        <row r="316">
          <cell r="B316" t="str">
            <v>05.7001</v>
          </cell>
          <cell r="C316" t="str">
            <v xml:space="preserve">L¾p tiÕp ®Þa </v>
          </cell>
          <cell r="D316" t="str">
            <v>kg</v>
          </cell>
          <cell r="E316">
            <v>19</v>
          </cell>
          <cell r="H316">
            <v>154</v>
          </cell>
          <cell r="I316">
            <v>1</v>
          </cell>
          <cell r="K316">
            <v>2926</v>
          </cell>
        </row>
        <row r="317">
          <cell r="C317" t="str">
            <v xml:space="preserve">c/ M¸y thi c«ng </v>
          </cell>
        </row>
        <row r="318">
          <cell r="B318" t="str">
            <v>05.8001</v>
          </cell>
          <cell r="C318" t="str">
            <v xml:space="preserve">M¸y hµn cäc </v>
          </cell>
          <cell r="D318" t="str">
            <v xml:space="preserve">cäc </v>
          </cell>
          <cell r="E318">
            <v>1</v>
          </cell>
          <cell r="H318">
            <v>776</v>
          </cell>
          <cell r="J318">
            <v>776</v>
          </cell>
        </row>
        <row r="320">
          <cell r="A320" t="str">
            <v>RC2</v>
          </cell>
          <cell r="C320" t="str">
            <v xml:space="preserve"> TiÕp ®Þa RC2 </v>
          </cell>
          <cell r="J320">
            <v>190157.67180000001</v>
          </cell>
          <cell r="K320">
            <v>125076.83</v>
          </cell>
          <cell r="L320">
            <v>1552</v>
          </cell>
        </row>
        <row r="321">
          <cell r="C321" t="str">
            <v>a.VËt liÖu</v>
          </cell>
        </row>
        <row r="322">
          <cell r="C322" t="str">
            <v>ThÐp lµm tiÕp ®Þa F 8- F12</v>
          </cell>
          <cell r="D322" t="str">
            <v>kg</v>
          </cell>
          <cell r="E322">
            <v>13.286</v>
          </cell>
          <cell r="F322">
            <v>1.02</v>
          </cell>
          <cell r="G322">
            <v>4465</v>
          </cell>
          <cell r="J322">
            <v>60508.429799999998</v>
          </cell>
        </row>
        <row r="323">
          <cell r="C323" t="str">
            <v>ThÐp gãc L 63 x 63 x 6</v>
          </cell>
          <cell r="D323" t="str">
            <v>kg</v>
          </cell>
          <cell r="E323">
            <v>28.66</v>
          </cell>
          <cell r="F323">
            <v>1.02</v>
          </cell>
          <cell r="G323">
            <v>4435</v>
          </cell>
          <cell r="J323">
            <v>129649.242</v>
          </cell>
        </row>
        <row r="324">
          <cell r="C324" t="str">
            <v>b. Nh©n c«ng</v>
          </cell>
        </row>
        <row r="325">
          <cell r="B325" t="str">
            <v>03.3103</v>
          </cell>
          <cell r="C325" t="str">
            <v>§µo ®Êt r·nh tiÕp ®Þa ®Êt cÊp 3</v>
          </cell>
          <cell r="D325" t="str">
            <v>m3</v>
          </cell>
          <cell r="E325">
            <v>3.2</v>
          </cell>
          <cell r="F325">
            <v>1</v>
          </cell>
          <cell r="H325">
            <v>21926</v>
          </cell>
          <cell r="I325">
            <v>1</v>
          </cell>
          <cell r="K325">
            <v>70163.199999999997</v>
          </cell>
        </row>
        <row r="326">
          <cell r="B326" t="str">
            <v>03.3203</v>
          </cell>
          <cell r="C326" t="str">
            <v>LÊp r·nh tiÕp ®Þa ®Êt cÊp 3</v>
          </cell>
          <cell r="D326" t="str">
            <v>m3</v>
          </cell>
          <cell r="E326">
            <v>3.2</v>
          </cell>
          <cell r="F326">
            <v>1</v>
          </cell>
          <cell r="H326">
            <v>10890</v>
          </cell>
          <cell r="I326">
            <v>1</v>
          </cell>
          <cell r="K326">
            <v>34848</v>
          </cell>
        </row>
        <row r="327">
          <cell r="B327" t="str">
            <v>05.8003</v>
          </cell>
          <cell r="C327" t="str">
            <v>§ãng cäc tiÕp ®Þa ®Êt cÊp 3</v>
          </cell>
          <cell r="D327" t="str">
            <v xml:space="preserve">cäc </v>
          </cell>
          <cell r="E327">
            <v>2</v>
          </cell>
          <cell r="F327">
            <v>1</v>
          </cell>
          <cell r="H327">
            <v>6782</v>
          </cell>
          <cell r="I327">
            <v>1</v>
          </cell>
          <cell r="K327">
            <v>13564</v>
          </cell>
        </row>
        <row r="328">
          <cell r="B328" t="str">
            <v>05.7001</v>
          </cell>
          <cell r="C328" t="str">
            <v xml:space="preserve">S¶n xuÊt vµ l¾p ®Æt tiÕp ®Þa </v>
          </cell>
          <cell r="D328" t="str">
            <v>kg</v>
          </cell>
          <cell r="E328">
            <v>41.945999999999998</v>
          </cell>
          <cell r="F328">
            <v>1</v>
          </cell>
          <cell r="H328">
            <v>155</v>
          </cell>
          <cell r="I328">
            <v>1</v>
          </cell>
          <cell r="K328">
            <v>6501.63</v>
          </cell>
        </row>
        <row r="329">
          <cell r="C329" t="str">
            <v xml:space="preserve">c. M¸y thi c«ng </v>
          </cell>
        </row>
        <row r="330">
          <cell r="B330" t="str">
            <v>05.8003</v>
          </cell>
          <cell r="C330" t="str">
            <v xml:space="preserve">M¸y ®ãng cäc </v>
          </cell>
          <cell r="D330" t="str">
            <v xml:space="preserve">cäc </v>
          </cell>
          <cell r="E330">
            <v>2</v>
          </cell>
          <cell r="F330">
            <v>1</v>
          </cell>
          <cell r="G330">
            <v>776</v>
          </cell>
          <cell r="I330">
            <v>1</v>
          </cell>
          <cell r="L330">
            <v>1552</v>
          </cell>
        </row>
        <row r="331">
          <cell r="H331">
            <v>0</v>
          </cell>
          <cell r="I331">
            <v>0</v>
          </cell>
        </row>
        <row r="332">
          <cell r="A332" t="str">
            <v>T§T</v>
          </cell>
          <cell r="C332" t="str">
            <v>TiÕp dÞa TBA</v>
          </cell>
          <cell r="J332">
            <v>803025.28</v>
          </cell>
          <cell r="K332">
            <v>144041.70000000001</v>
          </cell>
          <cell r="L332">
            <v>1552</v>
          </cell>
        </row>
        <row r="333">
          <cell r="C333" t="str">
            <v>a.VËt liÖu</v>
          </cell>
        </row>
        <row r="334">
          <cell r="C334" t="str">
            <v>ThÐp lµm tiÕp ®Þa L 63*63*6</v>
          </cell>
          <cell r="D334" t="str">
            <v>kg</v>
          </cell>
          <cell r="E334">
            <v>114</v>
          </cell>
          <cell r="F334">
            <v>1.0249999999999999</v>
          </cell>
          <cell r="G334">
            <v>4435</v>
          </cell>
          <cell r="J334">
            <v>518229.75</v>
          </cell>
        </row>
        <row r="335">
          <cell r="C335" t="str">
            <v>ThÐp dÑt D 40  x 4</v>
          </cell>
          <cell r="D335" t="str">
            <v>kg</v>
          </cell>
          <cell r="E335">
            <v>50.3</v>
          </cell>
          <cell r="F335">
            <v>1.0249999999999999</v>
          </cell>
          <cell r="G335">
            <v>4720</v>
          </cell>
          <cell r="J335">
            <v>243351.4</v>
          </cell>
        </row>
        <row r="336">
          <cell r="C336" t="str">
            <v>D©y nèi ®Êt F 12</v>
          </cell>
          <cell r="D336" t="str">
            <v>kg</v>
          </cell>
          <cell r="E336">
            <v>8.9</v>
          </cell>
          <cell r="F336">
            <v>1.02</v>
          </cell>
          <cell r="G336">
            <v>4465</v>
          </cell>
          <cell r="J336">
            <v>40533.270000000004</v>
          </cell>
        </row>
        <row r="337">
          <cell r="C337" t="str">
            <v>Bul«ng + vßng ®Öm</v>
          </cell>
          <cell r="D337" t="str">
            <v>kg</v>
          </cell>
          <cell r="E337">
            <v>0.2</v>
          </cell>
          <cell r="F337">
            <v>1.02</v>
          </cell>
          <cell r="G337">
            <v>4465</v>
          </cell>
          <cell r="J337">
            <v>910.86000000000013</v>
          </cell>
        </row>
        <row r="338">
          <cell r="C338" t="str">
            <v>b. Nh©n c«ng</v>
          </cell>
        </row>
        <row r="339">
          <cell r="B339" t="str">
            <v>03.3103</v>
          </cell>
          <cell r="C339" t="str">
            <v>§µo ®Êt r·nh tiÕp ®Þa ®Êt cÊp 3</v>
          </cell>
          <cell r="D339" t="str">
            <v>m3</v>
          </cell>
          <cell r="E339">
            <v>3.2</v>
          </cell>
          <cell r="F339">
            <v>1</v>
          </cell>
          <cell r="H339">
            <v>21926</v>
          </cell>
          <cell r="I339">
            <v>1</v>
          </cell>
          <cell r="K339">
            <v>70163.199999999997</v>
          </cell>
        </row>
        <row r="340">
          <cell r="B340" t="str">
            <v>03.3203</v>
          </cell>
          <cell r="C340" t="str">
            <v>LÊp r·nh tiÕp ®Þa ®Êt cÊp 3</v>
          </cell>
          <cell r="D340" t="str">
            <v>m3</v>
          </cell>
          <cell r="E340">
            <v>3.2</v>
          </cell>
          <cell r="F340">
            <v>1</v>
          </cell>
          <cell r="H340">
            <v>10890</v>
          </cell>
          <cell r="I340">
            <v>1</v>
          </cell>
          <cell r="K340">
            <v>34848</v>
          </cell>
        </row>
        <row r="341">
          <cell r="B341" t="str">
            <v>05.8003</v>
          </cell>
          <cell r="C341" t="str">
            <v>§ãng cäc tiÕp ®Þa ®Êt cÊp 3</v>
          </cell>
          <cell r="D341" t="str">
            <v xml:space="preserve">cäc </v>
          </cell>
          <cell r="E341">
            <v>2</v>
          </cell>
          <cell r="F341">
            <v>1</v>
          </cell>
          <cell r="H341">
            <v>6782</v>
          </cell>
          <cell r="I341">
            <v>1</v>
          </cell>
          <cell r="K341">
            <v>13564</v>
          </cell>
        </row>
        <row r="342">
          <cell r="B342" t="str">
            <v>05.7001</v>
          </cell>
          <cell r="C342" t="str">
            <v xml:space="preserve">S¶n xuÊt vµ l¾p ®Æt tiÕp ®Þa </v>
          </cell>
          <cell r="D342" t="str">
            <v>kg</v>
          </cell>
          <cell r="E342">
            <v>164.3</v>
          </cell>
          <cell r="F342">
            <v>1</v>
          </cell>
          <cell r="H342">
            <v>155</v>
          </cell>
          <cell r="I342">
            <v>1</v>
          </cell>
          <cell r="K342">
            <v>25466.5</v>
          </cell>
        </row>
        <row r="343">
          <cell r="C343" t="str">
            <v xml:space="preserve">c. M¸y thi c«ng </v>
          </cell>
        </row>
        <row r="344">
          <cell r="B344" t="str">
            <v>05.8003</v>
          </cell>
          <cell r="C344" t="str">
            <v xml:space="preserve">M¸y ®ãng cäc </v>
          </cell>
          <cell r="D344" t="str">
            <v xml:space="preserve">cäc </v>
          </cell>
          <cell r="E344">
            <v>2</v>
          </cell>
          <cell r="F344">
            <v>1</v>
          </cell>
          <cell r="G344">
            <v>776</v>
          </cell>
          <cell r="I344">
            <v>1</v>
          </cell>
          <cell r="L344">
            <v>1552</v>
          </cell>
        </row>
        <row r="346">
          <cell r="A346" t="str">
            <v>T§X</v>
          </cell>
          <cell r="C346" t="str">
            <v xml:space="preserve"> Chi tiÕt tiÕp ®Þa xµ </v>
          </cell>
          <cell r="J346">
            <v>26958.587400000004</v>
          </cell>
          <cell r="K346">
            <v>13161</v>
          </cell>
        </row>
        <row r="347">
          <cell r="C347" t="str">
            <v xml:space="preserve">a. VËt liÖu  </v>
          </cell>
        </row>
        <row r="348">
          <cell r="C348" t="str">
            <v xml:space="preserve">R«ng ®en </v>
          </cell>
          <cell r="D348" t="str">
            <v>c¸i</v>
          </cell>
          <cell r="E348">
            <v>1</v>
          </cell>
          <cell r="F348">
            <v>1</v>
          </cell>
          <cell r="G348">
            <v>3000</v>
          </cell>
          <cell r="J348">
            <v>3000</v>
          </cell>
        </row>
        <row r="349">
          <cell r="C349" t="str">
            <v>S¾t F12</v>
          </cell>
          <cell r="D349" t="str">
            <v>kg</v>
          </cell>
          <cell r="E349">
            <v>0.05</v>
          </cell>
          <cell r="F349">
            <v>1.02</v>
          </cell>
          <cell r="G349">
            <v>4465</v>
          </cell>
          <cell r="J349">
            <v>227.71500000000003</v>
          </cell>
        </row>
        <row r="350">
          <cell r="C350" t="str">
            <v>S¾t F10</v>
          </cell>
          <cell r="D350" t="str">
            <v>kg</v>
          </cell>
          <cell r="E350">
            <v>1.27</v>
          </cell>
          <cell r="F350">
            <v>1.02</v>
          </cell>
          <cell r="G350">
            <v>9726</v>
          </cell>
          <cell r="J350">
            <v>12599.0604</v>
          </cell>
        </row>
        <row r="351">
          <cell r="C351" t="str">
            <v>ThÐp dÑt 4</v>
          </cell>
          <cell r="E351">
            <v>0.36</v>
          </cell>
          <cell r="F351">
            <v>1.02</v>
          </cell>
          <cell r="G351">
            <v>4435</v>
          </cell>
          <cell r="J351">
            <v>1628.5319999999999</v>
          </cell>
        </row>
        <row r="352">
          <cell r="C352" t="str">
            <v>Gia c«ng xµ</v>
          </cell>
          <cell r="D352" t="str">
            <v>kg</v>
          </cell>
          <cell r="E352">
            <v>2.68</v>
          </cell>
          <cell r="F352">
            <v>1</v>
          </cell>
          <cell r="G352">
            <v>3546</v>
          </cell>
          <cell r="J352">
            <v>9503.2800000000007</v>
          </cell>
        </row>
        <row r="353">
          <cell r="C353" t="str">
            <v>b. Nh©n c«ng</v>
          </cell>
        </row>
        <row r="354">
          <cell r="B354" t="str">
            <v>05.6011</v>
          </cell>
          <cell r="C354" t="str">
            <v xml:space="preserve">L¾p chi tiÕt </v>
          </cell>
          <cell r="D354" t="str">
            <v>bé</v>
          </cell>
          <cell r="E354">
            <v>1</v>
          </cell>
          <cell r="F354">
            <v>1</v>
          </cell>
          <cell r="H354">
            <v>13161</v>
          </cell>
          <cell r="I354">
            <v>1</v>
          </cell>
          <cell r="K354">
            <v>13161</v>
          </cell>
        </row>
        <row r="356">
          <cell r="A356" t="str">
            <v>GC§</v>
          </cell>
          <cell r="C356" t="str">
            <v xml:space="preserve"> Chi tiÕt ghÐp cét ®«i </v>
          </cell>
          <cell r="J356">
            <v>426971.39999999997</v>
          </cell>
          <cell r="K356">
            <v>13161</v>
          </cell>
        </row>
        <row r="357">
          <cell r="C357" t="str">
            <v xml:space="preserve">a. VËt liÖu  </v>
          </cell>
        </row>
        <row r="358">
          <cell r="C358" t="str">
            <v xml:space="preserve">S¾t m¹ </v>
          </cell>
          <cell r="D358" t="str">
            <v>kg</v>
          </cell>
          <cell r="E358">
            <v>43.9</v>
          </cell>
          <cell r="F358">
            <v>1</v>
          </cell>
          <cell r="G358">
            <v>9726</v>
          </cell>
          <cell r="J358">
            <v>426971.39999999997</v>
          </cell>
        </row>
        <row r="359">
          <cell r="C359" t="str">
            <v>b. Nh©n c«ng</v>
          </cell>
        </row>
        <row r="360">
          <cell r="B360" t="str">
            <v>05.6011</v>
          </cell>
          <cell r="C360" t="str">
            <v xml:space="preserve">L¾p chi tiÕt </v>
          </cell>
          <cell r="D360" t="str">
            <v>bé</v>
          </cell>
          <cell r="E360">
            <v>1</v>
          </cell>
          <cell r="F360">
            <v>1</v>
          </cell>
          <cell r="H360">
            <v>13161</v>
          </cell>
          <cell r="I360">
            <v>1</v>
          </cell>
          <cell r="K360">
            <v>13161</v>
          </cell>
        </row>
        <row r="362">
          <cell r="A362" t="str">
            <v>G§CSO</v>
          </cell>
          <cell r="C362" t="str">
            <v xml:space="preserve">Gi¸ ®ì chèng sÐt èng </v>
          </cell>
          <cell r="J362">
            <v>110615.51699999999</v>
          </cell>
          <cell r="K362">
            <v>40627</v>
          </cell>
        </row>
        <row r="363">
          <cell r="C363" t="str">
            <v xml:space="preserve">a. VËt liÖu  </v>
          </cell>
        </row>
        <row r="364">
          <cell r="C364" t="str">
            <v>ThÐp c¸c lo¹i  m¹ kÏm</v>
          </cell>
          <cell r="D364" t="str">
            <v>kg</v>
          </cell>
          <cell r="E364">
            <v>5.98</v>
          </cell>
          <cell r="F364">
            <v>1.0249999999999999</v>
          </cell>
          <cell r="G364">
            <v>9726</v>
          </cell>
          <cell r="J364">
            <v>59615.517</v>
          </cell>
        </row>
        <row r="365">
          <cell r="C365" t="str">
            <v xml:space="preserve">CÆp c¸p </v>
          </cell>
          <cell r="D365" t="str">
            <v xml:space="preserve">c¸i </v>
          </cell>
          <cell r="E365">
            <v>6</v>
          </cell>
          <cell r="F365">
            <v>1</v>
          </cell>
          <cell r="G365">
            <v>8500</v>
          </cell>
          <cell r="J365">
            <v>51000</v>
          </cell>
        </row>
        <row r="366">
          <cell r="C366" t="str">
            <v>b. Nh©n c«ng</v>
          </cell>
        </row>
        <row r="367">
          <cell r="B367" t="str">
            <v>05.6011</v>
          </cell>
          <cell r="C367" t="str">
            <v>L¾p gi¸ ®ì chèng sÐt èng</v>
          </cell>
          <cell r="D367" t="str">
            <v>bé</v>
          </cell>
          <cell r="E367">
            <v>1</v>
          </cell>
          <cell r="F367">
            <v>1</v>
          </cell>
          <cell r="H367">
            <v>40627</v>
          </cell>
          <cell r="I367">
            <v>1</v>
          </cell>
          <cell r="K367">
            <v>40627</v>
          </cell>
        </row>
        <row r="369">
          <cell r="A369" t="str">
            <v>XR2</v>
          </cell>
          <cell r="C369" t="str">
            <v xml:space="preserve"> Xµ rÏ XR-2</v>
          </cell>
          <cell r="J369">
            <v>152029.53750000001</v>
          </cell>
          <cell r="K369">
            <v>27274.287</v>
          </cell>
        </row>
        <row r="370">
          <cell r="C370" t="str">
            <v xml:space="preserve">a. VËt liÖu  </v>
          </cell>
        </row>
        <row r="371">
          <cell r="C371" t="str">
            <v xml:space="preserve">S¾t thÐp m¹ kÏm </v>
          </cell>
          <cell r="D371" t="str">
            <v>kg</v>
          </cell>
          <cell r="E371">
            <v>15.25</v>
          </cell>
          <cell r="F371">
            <v>1.0249999999999999</v>
          </cell>
          <cell r="G371">
            <v>9726</v>
          </cell>
          <cell r="J371">
            <v>152029.53750000001</v>
          </cell>
        </row>
        <row r="372">
          <cell r="C372" t="str">
            <v>b. Nh©n c«ng</v>
          </cell>
        </row>
        <row r="373">
          <cell r="B373" t="str">
            <v>05.6021</v>
          </cell>
          <cell r="C373" t="str">
            <v xml:space="preserve">L¾p xµ trªn cét ®¬n </v>
          </cell>
          <cell r="D373" t="str">
            <v>bé</v>
          </cell>
          <cell r="E373">
            <v>1</v>
          </cell>
          <cell r="F373">
            <v>1</v>
          </cell>
          <cell r="H373">
            <v>17806</v>
          </cell>
          <cell r="I373">
            <v>1.5</v>
          </cell>
          <cell r="K373">
            <v>26709</v>
          </cell>
        </row>
        <row r="374">
          <cell r="B374" t="str">
            <v>02.1352</v>
          </cell>
          <cell r="C374" t="str">
            <v xml:space="preserve">VËn chuyÓn xµ thÐp b»ng thñ c«ng </v>
          </cell>
          <cell r="D374" t="str">
            <v>tÊn</v>
          </cell>
          <cell r="E374">
            <v>1.525E-2</v>
          </cell>
          <cell r="F374">
            <v>1</v>
          </cell>
          <cell r="H374">
            <v>37068</v>
          </cell>
          <cell r="I374">
            <v>1</v>
          </cell>
          <cell r="K374">
            <v>565.28700000000003</v>
          </cell>
        </row>
        <row r="376">
          <cell r="A376" t="str">
            <v>XR1</v>
          </cell>
          <cell r="C376" t="str">
            <v xml:space="preserve"> Xµ rÏ XR-1</v>
          </cell>
          <cell r="J376">
            <v>101585.63849999999</v>
          </cell>
          <cell r="K376">
            <v>27086.72292</v>
          </cell>
        </row>
        <row r="377">
          <cell r="C377" t="str">
            <v xml:space="preserve">a. VËt liÖu  </v>
          </cell>
        </row>
        <row r="378">
          <cell r="C378" t="str">
            <v xml:space="preserve">S¾t thÐp m¹ kÏm </v>
          </cell>
          <cell r="D378" t="str">
            <v>kg</v>
          </cell>
          <cell r="E378">
            <v>10.19</v>
          </cell>
          <cell r="F378">
            <v>1.0249999999999999</v>
          </cell>
          <cell r="G378">
            <v>9726</v>
          </cell>
          <cell r="J378">
            <v>101585.63849999999</v>
          </cell>
        </row>
        <row r="379">
          <cell r="C379" t="str">
            <v>b. Nh©n c«ng</v>
          </cell>
        </row>
        <row r="380">
          <cell r="B380" t="str">
            <v>05.6021</v>
          </cell>
          <cell r="C380" t="str">
            <v xml:space="preserve">L¾p xµ trªn cét ®¬n </v>
          </cell>
          <cell r="D380" t="str">
            <v>bé</v>
          </cell>
          <cell r="E380">
            <v>1</v>
          </cell>
          <cell r="F380">
            <v>1</v>
          </cell>
          <cell r="H380">
            <v>17806</v>
          </cell>
          <cell r="I380">
            <v>1.5</v>
          </cell>
          <cell r="K380">
            <v>26709</v>
          </cell>
        </row>
        <row r="381">
          <cell r="B381" t="str">
            <v>02.1352</v>
          </cell>
          <cell r="C381" t="str">
            <v xml:space="preserve">VËn chuyÓn xµ thÐp b»ng thñ c«ng </v>
          </cell>
          <cell r="D381" t="str">
            <v>tÊn</v>
          </cell>
          <cell r="E381">
            <v>1.0189999999999999E-2</v>
          </cell>
          <cell r="F381">
            <v>1</v>
          </cell>
          <cell r="H381">
            <v>37068</v>
          </cell>
          <cell r="I381">
            <v>1</v>
          </cell>
          <cell r="K381">
            <v>377.72291999999999</v>
          </cell>
        </row>
        <row r="383">
          <cell r="A383" t="str">
            <v>X§T1L</v>
          </cell>
          <cell r="C383" t="str">
            <v xml:space="preserve"> Xµ ®ì th¼ng X§T-1L</v>
          </cell>
          <cell r="J383">
            <v>246437.38799999998</v>
          </cell>
          <cell r="K383">
            <v>30529.320960000001</v>
          </cell>
        </row>
        <row r="384">
          <cell r="C384" t="str">
            <v xml:space="preserve">a. VËt liÖu  </v>
          </cell>
        </row>
        <row r="385">
          <cell r="C385" t="str">
            <v xml:space="preserve">S¾t thÐp m¹ kÏm </v>
          </cell>
          <cell r="D385" t="str">
            <v>kg</v>
          </cell>
          <cell r="E385">
            <v>24.72</v>
          </cell>
          <cell r="F385">
            <v>1.0249999999999999</v>
          </cell>
          <cell r="G385">
            <v>9726</v>
          </cell>
          <cell r="J385">
            <v>246437.38799999998</v>
          </cell>
        </row>
        <row r="386">
          <cell r="C386" t="str">
            <v>b. Nh©n c«ng</v>
          </cell>
        </row>
        <row r="387">
          <cell r="B387" t="str">
            <v>05.6021</v>
          </cell>
          <cell r="C387" t="str">
            <v xml:space="preserve">L¾p xµ trªn cét ®¬n </v>
          </cell>
          <cell r="D387" t="str">
            <v>bé</v>
          </cell>
          <cell r="E387">
            <v>1</v>
          </cell>
          <cell r="F387">
            <v>1</v>
          </cell>
          <cell r="H387">
            <v>19742</v>
          </cell>
          <cell r="I387">
            <v>1.5</v>
          </cell>
          <cell r="K387">
            <v>29613</v>
          </cell>
        </row>
        <row r="388">
          <cell r="B388" t="str">
            <v>02.1352</v>
          </cell>
          <cell r="C388" t="str">
            <v xml:space="preserve">VËn chuyÓn xµ thÐp b»ng thñ c«ng </v>
          </cell>
          <cell r="D388" t="str">
            <v>tÊn</v>
          </cell>
          <cell r="E388">
            <v>2.4719999999999999E-2</v>
          </cell>
          <cell r="F388">
            <v>1</v>
          </cell>
          <cell r="H388">
            <v>37068</v>
          </cell>
          <cell r="I388">
            <v>1</v>
          </cell>
          <cell r="K388">
            <v>916.32096000000001</v>
          </cell>
        </row>
        <row r="390">
          <cell r="A390" t="str">
            <v>X§T1Ls</v>
          </cell>
          <cell r="C390" t="str">
            <v xml:space="preserve"> Xµ ®ì th¼ng X§T-1Ls</v>
          </cell>
          <cell r="J390">
            <v>316386.78000000003</v>
          </cell>
          <cell r="K390">
            <v>30818.822039999999</v>
          </cell>
        </row>
        <row r="391">
          <cell r="C391" t="str">
            <v xml:space="preserve">a. VËt liÖu  </v>
          </cell>
        </row>
        <row r="392">
          <cell r="C392" t="str">
            <v xml:space="preserve">S¾t thÐp m¹ kÏm </v>
          </cell>
          <cell r="D392" t="str">
            <v>kg</v>
          </cell>
          <cell r="E392">
            <v>32.53</v>
          </cell>
          <cell r="F392">
            <v>1</v>
          </cell>
          <cell r="G392">
            <v>9726</v>
          </cell>
          <cell r="J392">
            <v>316386.78000000003</v>
          </cell>
        </row>
        <row r="393">
          <cell r="C393" t="str">
            <v>b. Nh©n c«ng</v>
          </cell>
        </row>
        <row r="394">
          <cell r="B394" t="str">
            <v>05.6021</v>
          </cell>
          <cell r="C394" t="str">
            <v xml:space="preserve">L¾p xµ trªn cét ®¬n </v>
          </cell>
          <cell r="D394" t="str">
            <v>bé</v>
          </cell>
          <cell r="E394">
            <v>1</v>
          </cell>
          <cell r="F394">
            <v>1</v>
          </cell>
          <cell r="H394">
            <v>19742</v>
          </cell>
          <cell r="I394">
            <v>1.5</v>
          </cell>
          <cell r="K394">
            <v>29613</v>
          </cell>
        </row>
        <row r="395">
          <cell r="B395" t="str">
            <v>02.1352</v>
          </cell>
          <cell r="C395" t="str">
            <v xml:space="preserve">VËn chuyÓn xµ thÐp b»ng thñ c«ng </v>
          </cell>
          <cell r="D395" t="str">
            <v>tÊn</v>
          </cell>
          <cell r="E395">
            <v>3.2530000000000003E-2</v>
          </cell>
          <cell r="F395">
            <v>1</v>
          </cell>
          <cell r="H395">
            <v>37068</v>
          </cell>
          <cell r="I395">
            <v>1</v>
          </cell>
          <cell r="K395">
            <v>1205.82204</v>
          </cell>
        </row>
        <row r="397">
          <cell r="A397" t="str">
            <v>XN2-5L</v>
          </cell>
          <cell r="C397" t="str">
            <v xml:space="preserve"> Xµ nÐo XN2-5L</v>
          </cell>
          <cell r="J397">
            <v>1218667.8</v>
          </cell>
          <cell r="K397">
            <v>65973.820399999997</v>
          </cell>
        </row>
        <row r="398">
          <cell r="C398" t="str">
            <v xml:space="preserve">a. VËt liÖu  </v>
          </cell>
        </row>
        <row r="399">
          <cell r="C399" t="str">
            <v xml:space="preserve">S¾t thÐp m¹ kÏm </v>
          </cell>
          <cell r="D399" t="str">
            <v>kg</v>
          </cell>
          <cell r="E399">
            <v>125.3</v>
          </cell>
          <cell r="F399">
            <v>1</v>
          </cell>
          <cell r="G399">
            <v>9726</v>
          </cell>
          <cell r="J399">
            <v>1218667.8</v>
          </cell>
        </row>
        <row r="400">
          <cell r="C400" t="str">
            <v>b. Nh©n c«ng</v>
          </cell>
        </row>
        <row r="401">
          <cell r="B401" t="str">
            <v>05.6044</v>
          </cell>
          <cell r="C401" t="str">
            <v xml:space="preserve">L¾p xµ trªn cét  </v>
          </cell>
          <cell r="D401" t="str">
            <v>bé</v>
          </cell>
          <cell r="E401">
            <v>1</v>
          </cell>
          <cell r="F401">
            <v>1</v>
          </cell>
          <cell r="H401">
            <v>36076</v>
          </cell>
          <cell r="I401">
            <v>1.7</v>
          </cell>
          <cell r="K401">
            <v>61329.2</v>
          </cell>
        </row>
        <row r="402">
          <cell r="B402" t="str">
            <v>02.1352</v>
          </cell>
          <cell r="C402" t="str">
            <v xml:space="preserve">VËn chuyÓn xµ thÐp b»ng thñ c«ng </v>
          </cell>
          <cell r="D402" t="str">
            <v>tÊn</v>
          </cell>
          <cell r="E402">
            <v>0.12529999999999999</v>
          </cell>
          <cell r="F402">
            <v>1</v>
          </cell>
          <cell r="H402">
            <v>37068</v>
          </cell>
          <cell r="I402">
            <v>1</v>
          </cell>
          <cell r="K402">
            <v>4644.6203999999998</v>
          </cell>
        </row>
        <row r="404">
          <cell r="A404" t="str">
            <v>X§V1Ls</v>
          </cell>
          <cell r="C404" t="str">
            <v xml:space="preserve"> Xµ ®ì v­ît X§V-1Ls</v>
          </cell>
          <cell r="J404">
            <v>459261.72</v>
          </cell>
          <cell r="K404">
            <v>28459.35096</v>
          </cell>
        </row>
        <row r="405">
          <cell r="C405" t="str">
            <v xml:space="preserve">a. VËt liÖu  </v>
          </cell>
        </row>
        <row r="406">
          <cell r="C406" t="str">
            <v xml:space="preserve">S¾t thÐp m¹ kÏm </v>
          </cell>
          <cell r="D406" t="str">
            <v>kg</v>
          </cell>
          <cell r="E406">
            <v>47.22</v>
          </cell>
          <cell r="F406">
            <v>1</v>
          </cell>
          <cell r="G406">
            <v>9726</v>
          </cell>
          <cell r="J406">
            <v>459261.72</v>
          </cell>
        </row>
        <row r="407">
          <cell r="C407" t="str">
            <v>b. Nh©n c«ng</v>
          </cell>
        </row>
        <row r="408">
          <cell r="B408" t="str">
            <v>05.6021</v>
          </cell>
          <cell r="C408" t="str">
            <v xml:space="preserve">L¾p xµ trªn cét  </v>
          </cell>
          <cell r="D408" t="str">
            <v>bé</v>
          </cell>
          <cell r="E408">
            <v>1</v>
          </cell>
          <cell r="F408">
            <v>1</v>
          </cell>
          <cell r="H408">
            <v>17806</v>
          </cell>
          <cell r="I408">
            <v>1.5</v>
          </cell>
          <cell r="K408">
            <v>26709</v>
          </cell>
        </row>
        <row r="409">
          <cell r="B409" t="str">
            <v>02.1352</v>
          </cell>
          <cell r="C409" t="str">
            <v xml:space="preserve">VËn chuyÓn xµ thÐp b»ng thñ c«ng </v>
          </cell>
          <cell r="D409" t="str">
            <v>tÊn</v>
          </cell>
          <cell r="E409">
            <v>4.7219999999999998E-2</v>
          </cell>
          <cell r="F409">
            <v>1</v>
          </cell>
          <cell r="H409">
            <v>37068</v>
          </cell>
          <cell r="I409">
            <v>1</v>
          </cell>
          <cell r="K409">
            <v>1750.35096</v>
          </cell>
        </row>
        <row r="411">
          <cell r="A411" t="str">
            <v>XN2-5Ls</v>
          </cell>
          <cell r="C411" t="str">
            <v xml:space="preserve"> Xµ nÐo ®óp XN2-5Ls</v>
          </cell>
          <cell r="J411">
            <v>1271909.8692000001</v>
          </cell>
          <cell r="K411">
            <v>66081.688280000002</v>
          </cell>
        </row>
        <row r="412">
          <cell r="C412" t="str">
            <v xml:space="preserve">a. VËt liÖu  </v>
          </cell>
        </row>
        <row r="413">
          <cell r="C413" t="str">
            <v xml:space="preserve">S¾t thÐp m¹ kÏm </v>
          </cell>
          <cell r="D413" t="str">
            <v>kg</v>
          </cell>
          <cell r="E413">
            <v>128.21</v>
          </cell>
          <cell r="F413">
            <v>1.02</v>
          </cell>
          <cell r="G413">
            <v>9726</v>
          </cell>
          <cell r="J413">
            <v>1271909.8692000001</v>
          </cell>
        </row>
        <row r="414">
          <cell r="C414" t="str">
            <v>b. Nh©n c«ng</v>
          </cell>
        </row>
        <row r="415">
          <cell r="B415" t="str">
            <v>05.6044</v>
          </cell>
          <cell r="C415" t="str">
            <v xml:space="preserve">L¾p xµ trªn cét ®óp </v>
          </cell>
          <cell r="D415" t="str">
            <v>bé</v>
          </cell>
          <cell r="E415">
            <v>1</v>
          </cell>
          <cell r="F415">
            <v>1</v>
          </cell>
          <cell r="H415">
            <v>36076</v>
          </cell>
          <cell r="I415">
            <v>1.7</v>
          </cell>
          <cell r="K415">
            <v>61329.2</v>
          </cell>
        </row>
        <row r="416">
          <cell r="B416" t="str">
            <v>02.1352</v>
          </cell>
          <cell r="C416" t="str">
            <v xml:space="preserve">VËn chuyÓn xµ thÐp b»ng thñ c«ng </v>
          </cell>
          <cell r="D416" t="str">
            <v>tÊn</v>
          </cell>
          <cell r="E416">
            <v>0.12821000000000002</v>
          </cell>
          <cell r="F416">
            <v>1</v>
          </cell>
          <cell r="H416">
            <v>37068</v>
          </cell>
          <cell r="I416">
            <v>1</v>
          </cell>
          <cell r="K416">
            <v>4752.4882800000005</v>
          </cell>
        </row>
        <row r="418">
          <cell r="A418" t="str">
            <v>XNS-2</v>
          </cell>
          <cell r="C418" t="str">
            <v xml:space="preserve"> Xµ nÐo XNS-2</v>
          </cell>
          <cell r="J418">
            <v>461790.48</v>
          </cell>
          <cell r="K418">
            <v>49603.988640000003</v>
          </cell>
        </row>
        <row r="419">
          <cell r="C419" t="str">
            <v xml:space="preserve">a. VËt liÖu  </v>
          </cell>
        </row>
        <row r="420">
          <cell r="C420" t="str">
            <v xml:space="preserve">S¾t thÐp m¹ kÏm </v>
          </cell>
          <cell r="D420" t="str">
            <v>kg</v>
          </cell>
          <cell r="E420">
            <v>47.48</v>
          </cell>
          <cell r="F420">
            <v>1</v>
          </cell>
          <cell r="G420">
            <v>9726</v>
          </cell>
          <cell r="J420">
            <v>461790.48</v>
          </cell>
        </row>
        <row r="421">
          <cell r="C421" t="str">
            <v>b. Nh©n c«ng</v>
          </cell>
        </row>
        <row r="422">
          <cell r="B422" t="str">
            <v>05.6032</v>
          </cell>
          <cell r="C422" t="str">
            <v xml:space="preserve">L¾p xµ trªn cét  </v>
          </cell>
          <cell r="D422" t="str">
            <v>bé</v>
          </cell>
          <cell r="E422">
            <v>1</v>
          </cell>
          <cell r="F422">
            <v>1</v>
          </cell>
          <cell r="H422">
            <v>31896</v>
          </cell>
          <cell r="I422">
            <v>1.5</v>
          </cell>
          <cell r="K422">
            <v>47844</v>
          </cell>
        </row>
        <row r="423">
          <cell r="B423" t="str">
            <v>02.1352</v>
          </cell>
          <cell r="C423" t="str">
            <v xml:space="preserve">VËn chuyÓn xµ thÐp b»ng thñ c«ng </v>
          </cell>
          <cell r="D423" t="str">
            <v>tÊn</v>
          </cell>
          <cell r="E423">
            <v>4.7479999999999994E-2</v>
          </cell>
          <cell r="F423">
            <v>1</v>
          </cell>
          <cell r="H423">
            <v>37068</v>
          </cell>
          <cell r="I423">
            <v>1</v>
          </cell>
          <cell r="K423">
            <v>1759.9886399999998</v>
          </cell>
        </row>
        <row r="425">
          <cell r="A425" t="str">
            <v>CS-1</v>
          </cell>
          <cell r="C425" t="str">
            <v xml:space="preserve"> Cæ dÒ nÐo cã d©y chèng sÐt CS-1</v>
          </cell>
          <cell r="J425">
            <v>111849</v>
          </cell>
          <cell r="K425">
            <v>12613.781999999999</v>
          </cell>
        </row>
        <row r="426">
          <cell r="C426" t="str">
            <v xml:space="preserve">a. VËt liÖu  </v>
          </cell>
        </row>
        <row r="427">
          <cell r="C427" t="str">
            <v xml:space="preserve">S¾t thÐp m¹ kÏm </v>
          </cell>
          <cell r="D427" t="str">
            <v>kg</v>
          </cell>
          <cell r="E427">
            <v>11.5</v>
          </cell>
          <cell r="F427">
            <v>1</v>
          </cell>
          <cell r="G427">
            <v>9726</v>
          </cell>
          <cell r="J427">
            <v>111849</v>
          </cell>
        </row>
        <row r="428">
          <cell r="C428" t="str">
            <v>b. Nh©n c«ng</v>
          </cell>
        </row>
        <row r="429">
          <cell r="B429" t="str">
            <v>06.2110</v>
          </cell>
          <cell r="C429" t="str">
            <v xml:space="preserve">L¾p cæ dÒ </v>
          </cell>
          <cell r="D429" t="str">
            <v>bé</v>
          </cell>
          <cell r="E429">
            <v>1</v>
          </cell>
          <cell r="F429">
            <v>1</v>
          </cell>
          <cell r="H429">
            <v>8125</v>
          </cell>
          <cell r="I429">
            <v>1.5</v>
          </cell>
          <cell r="K429">
            <v>12187.5</v>
          </cell>
        </row>
        <row r="430">
          <cell r="B430" t="str">
            <v>02.1352</v>
          </cell>
          <cell r="C430" t="str">
            <v xml:space="preserve">VËn chuyÓn b»ng thñ c«ng </v>
          </cell>
          <cell r="D430" t="str">
            <v>tÊn</v>
          </cell>
          <cell r="E430">
            <v>1.15E-2</v>
          </cell>
          <cell r="F430">
            <v>1</v>
          </cell>
          <cell r="H430">
            <v>37068</v>
          </cell>
          <cell r="I430">
            <v>1</v>
          </cell>
          <cell r="K430">
            <v>426.28199999999998</v>
          </cell>
        </row>
        <row r="432">
          <cell r="A432" t="str">
            <v>CDC</v>
          </cell>
          <cell r="C432" t="str">
            <v xml:space="preserve"> Cæ dÒ nÐo cuèi CDC</v>
          </cell>
          <cell r="J432">
            <v>52520.4</v>
          </cell>
          <cell r="K432">
            <v>12387.6672</v>
          </cell>
        </row>
        <row r="433">
          <cell r="C433" t="str">
            <v xml:space="preserve">a. VËt liÖu  </v>
          </cell>
        </row>
        <row r="434">
          <cell r="C434" t="str">
            <v xml:space="preserve">S¾t thÐp m¹ kÏm </v>
          </cell>
          <cell r="D434" t="str">
            <v>kg</v>
          </cell>
          <cell r="E434">
            <v>5.4</v>
          </cell>
          <cell r="F434">
            <v>1</v>
          </cell>
          <cell r="G434">
            <v>9726</v>
          </cell>
          <cell r="J434">
            <v>52520.4</v>
          </cell>
        </row>
        <row r="435">
          <cell r="C435" t="str">
            <v>b. Nh©n c«ng</v>
          </cell>
        </row>
        <row r="436">
          <cell r="B436" t="str">
            <v>06.2110</v>
          </cell>
          <cell r="C436" t="str">
            <v xml:space="preserve">L¾p cæ dÒ </v>
          </cell>
          <cell r="D436" t="str">
            <v>bé</v>
          </cell>
          <cell r="E436">
            <v>1</v>
          </cell>
          <cell r="F436">
            <v>1</v>
          </cell>
          <cell r="H436">
            <v>8125</v>
          </cell>
          <cell r="I436">
            <v>1.5</v>
          </cell>
          <cell r="K436">
            <v>12187.5</v>
          </cell>
        </row>
        <row r="437">
          <cell r="B437" t="str">
            <v>02.1352</v>
          </cell>
          <cell r="C437" t="str">
            <v xml:space="preserve">VËn chuyÓn  b»ng thñ c«ng </v>
          </cell>
          <cell r="D437" t="str">
            <v>tÊn</v>
          </cell>
          <cell r="E437">
            <v>5.4000000000000003E-3</v>
          </cell>
          <cell r="F437">
            <v>1</v>
          </cell>
          <cell r="H437">
            <v>37068</v>
          </cell>
          <cell r="I437">
            <v>1</v>
          </cell>
          <cell r="K437">
            <v>200.16720000000001</v>
          </cell>
        </row>
        <row r="439">
          <cell r="A439" t="str">
            <v>DN20-11</v>
          </cell>
          <cell r="C439" t="str">
            <v xml:space="preserve"> D©y nÐo 20-11</v>
          </cell>
          <cell r="J439">
            <v>414911.16</v>
          </cell>
          <cell r="K439">
            <v>7269.3208799999993</v>
          </cell>
        </row>
        <row r="440">
          <cell r="C440" t="str">
            <v xml:space="preserve">a. VËt liÖu  </v>
          </cell>
        </row>
        <row r="441">
          <cell r="C441" t="str">
            <v xml:space="preserve">S¾t thÐp m¹ kÏm </v>
          </cell>
          <cell r="D441" t="str">
            <v>kg</v>
          </cell>
          <cell r="E441">
            <v>42.66</v>
          </cell>
          <cell r="F441">
            <v>1</v>
          </cell>
          <cell r="G441">
            <v>9726</v>
          </cell>
          <cell r="J441">
            <v>414911.16</v>
          </cell>
        </row>
        <row r="442">
          <cell r="C442" t="str">
            <v>b. Nh©n c«ng</v>
          </cell>
        </row>
        <row r="443">
          <cell r="B443" t="str">
            <v>06.2120</v>
          </cell>
          <cell r="C443" t="str">
            <v>L¾p d©y nÐo</v>
          </cell>
          <cell r="D443" t="str">
            <v>bé</v>
          </cell>
          <cell r="E443">
            <v>1</v>
          </cell>
          <cell r="F443">
            <v>1</v>
          </cell>
          <cell r="H443">
            <v>5688</v>
          </cell>
          <cell r="I443">
            <v>1</v>
          </cell>
          <cell r="K443">
            <v>5688</v>
          </cell>
        </row>
        <row r="444">
          <cell r="B444" t="str">
            <v>02.1352</v>
          </cell>
          <cell r="C444" t="str">
            <v xml:space="preserve">VËn chuyÓn  b»ng thñ c«ng </v>
          </cell>
          <cell r="D444" t="str">
            <v>tÊn</v>
          </cell>
          <cell r="E444">
            <v>4.2659999999999997E-2</v>
          </cell>
          <cell r="F444">
            <v>1</v>
          </cell>
          <cell r="H444">
            <v>37068</v>
          </cell>
          <cell r="I444">
            <v>1</v>
          </cell>
          <cell r="K444">
            <v>1581.3208799999998</v>
          </cell>
        </row>
        <row r="446">
          <cell r="A446" t="str">
            <v>DN20-12</v>
          </cell>
          <cell r="C446" t="str">
            <v xml:space="preserve"> D©y nÐo 20-12</v>
          </cell>
          <cell r="J446">
            <v>432223.44</v>
          </cell>
          <cell r="K446">
            <v>7335.3019199999999</v>
          </cell>
        </row>
        <row r="447">
          <cell r="C447" t="str">
            <v xml:space="preserve">a. VËt liÖu  </v>
          </cell>
        </row>
        <row r="448">
          <cell r="C448" t="str">
            <v xml:space="preserve">S¾t thÐp m¹ kÏm </v>
          </cell>
          <cell r="D448" t="str">
            <v>kg</v>
          </cell>
          <cell r="E448">
            <v>44.44</v>
          </cell>
          <cell r="F448">
            <v>1</v>
          </cell>
          <cell r="G448">
            <v>9726</v>
          </cell>
          <cell r="J448">
            <v>432223.44</v>
          </cell>
        </row>
        <row r="449">
          <cell r="C449" t="str">
            <v>b. Nh©n c«ng</v>
          </cell>
        </row>
        <row r="450">
          <cell r="B450" t="str">
            <v>06.2120</v>
          </cell>
          <cell r="C450" t="str">
            <v>L¾p d©y nÐo</v>
          </cell>
          <cell r="D450" t="str">
            <v>bé</v>
          </cell>
          <cell r="E450">
            <v>1</v>
          </cell>
          <cell r="F450">
            <v>1</v>
          </cell>
          <cell r="H450">
            <v>5688</v>
          </cell>
          <cell r="I450">
            <v>1</v>
          </cell>
          <cell r="K450">
            <v>5688</v>
          </cell>
        </row>
        <row r="451">
          <cell r="B451" t="str">
            <v>02.1352</v>
          </cell>
          <cell r="C451" t="str">
            <v xml:space="preserve">VËn chuyÓn  b»ng thñ c«ng </v>
          </cell>
          <cell r="D451" t="str">
            <v>tÊn</v>
          </cell>
          <cell r="E451">
            <v>4.444E-2</v>
          </cell>
          <cell r="F451">
            <v>1</v>
          </cell>
          <cell r="H451">
            <v>37068</v>
          </cell>
          <cell r="I451">
            <v>1</v>
          </cell>
          <cell r="K451">
            <v>1647.3019200000001</v>
          </cell>
        </row>
        <row r="453">
          <cell r="A453" t="str">
            <v>DN16-16</v>
          </cell>
          <cell r="C453" t="str">
            <v>D©y nÐo 16-16</v>
          </cell>
          <cell r="J453">
            <v>375812.64</v>
          </cell>
          <cell r="K453">
            <v>7120.3075200000003</v>
          </cell>
        </row>
        <row r="454">
          <cell r="C454" t="str">
            <v xml:space="preserve">a. VËt liÖu  </v>
          </cell>
        </row>
        <row r="455">
          <cell r="C455" t="str">
            <v xml:space="preserve">S¾t thÐp m¹ kÏm </v>
          </cell>
          <cell r="D455" t="str">
            <v>kg</v>
          </cell>
          <cell r="E455">
            <v>38.64</v>
          </cell>
          <cell r="F455">
            <v>1</v>
          </cell>
          <cell r="G455">
            <v>9726</v>
          </cell>
          <cell r="J455">
            <v>375812.64</v>
          </cell>
        </row>
        <row r="456">
          <cell r="C456" t="str">
            <v>b. Nh©n c«ng</v>
          </cell>
        </row>
        <row r="457">
          <cell r="B457" t="str">
            <v>06.2120</v>
          </cell>
          <cell r="C457" t="str">
            <v>L¾p d©y nÐo</v>
          </cell>
          <cell r="D457" t="str">
            <v>bé</v>
          </cell>
          <cell r="E457">
            <v>1</v>
          </cell>
          <cell r="F457">
            <v>1</v>
          </cell>
          <cell r="H457">
            <v>5688</v>
          </cell>
          <cell r="I457">
            <v>1</v>
          </cell>
          <cell r="K457">
            <v>5688</v>
          </cell>
        </row>
        <row r="458">
          <cell r="B458" t="str">
            <v>02.1352</v>
          </cell>
          <cell r="C458" t="str">
            <v xml:space="preserve">VËn chuyÓn  b»ng thñ c«ng </v>
          </cell>
          <cell r="D458" t="str">
            <v>tÊn</v>
          </cell>
          <cell r="E458">
            <v>3.8640000000000001E-2</v>
          </cell>
          <cell r="F458">
            <v>1</v>
          </cell>
          <cell r="H458">
            <v>37068</v>
          </cell>
          <cell r="I458">
            <v>1</v>
          </cell>
          <cell r="K458">
            <v>1432.3075200000001</v>
          </cell>
        </row>
        <row r="460">
          <cell r="A460" t="str">
            <v>DN20-15</v>
          </cell>
          <cell r="C460" t="str">
            <v xml:space="preserve"> D©y nÐo 20-15</v>
          </cell>
          <cell r="J460">
            <v>504195.84000000003</v>
          </cell>
          <cell r="K460">
            <v>7609.6051200000002</v>
          </cell>
        </row>
        <row r="461">
          <cell r="C461" t="str">
            <v xml:space="preserve">a. VËt liÖu  </v>
          </cell>
        </row>
        <row r="462">
          <cell r="C462" t="str">
            <v xml:space="preserve">S¾t thÐp m¹ kÏm </v>
          </cell>
          <cell r="D462" t="str">
            <v>kg</v>
          </cell>
          <cell r="E462">
            <v>51.84</v>
          </cell>
          <cell r="F462">
            <v>1</v>
          </cell>
          <cell r="G462">
            <v>9726</v>
          </cell>
          <cell r="J462">
            <v>504195.84000000003</v>
          </cell>
        </row>
        <row r="463">
          <cell r="C463" t="str">
            <v>b. Nh©n c«ng</v>
          </cell>
        </row>
        <row r="464">
          <cell r="B464" t="str">
            <v>06.2120</v>
          </cell>
          <cell r="C464" t="str">
            <v>L¾p d©y nÐo</v>
          </cell>
          <cell r="D464" t="str">
            <v>bé</v>
          </cell>
          <cell r="E464">
            <v>1</v>
          </cell>
          <cell r="F464">
            <v>1</v>
          </cell>
          <cell r="H464">
            <v>5688</v>
          </cell>
          <cell r="I464">
            <v>1</v>
          </cell>
          <cell r="K464">
            <v>5688</v>
          </cell>
        </row>
        <row r="465">
          <cell r="B465" t="str">
            <v>02.1352</v>
          </cell>
          <cell r="C465" t="str">
            <v xml:space="preserve">VËn chuyÓn  b»ng thñ c«ng </v>
          </cell>
          <cell r="D465" t="str">
            <v>tÊn</v>
          </cell>
          <cell r="E465">
            <v>5.1840000000000004E-2</v>
          </cell>
          <cell r="F465">
            <v>1</v>
          </cell>
          <cell r="H465">
            <v>37068</v>
          </cell>
          <cell r="I465">
            <v>1</v>
          </cell>
          <cell r="K465">
            <v>1921.6051200000002</v>
          </cell>
        </row>
        <row r="467">
          <cell r="A467" t="str">
            <v>DN20-17</v>
          </cell>
          <cell r="C467" t="str">
            <v xml:space="preserve"> D©y nÐo 20-17</v>
          </cell>
          <cell r="J467">
            <v>552145.02</v>
          </cell>
          <cell r="K467">
            <v>7792.3503600000004</v>
          </cell>
        </row>
        <row r="468">
          <cell r="C468" t="str">
            <v xml:space="preserve">a. VËt liÖu  </v>
          </cell>
        </row>
        <row r="469">
          <cell r="A469">
            <v>552145.02</v>
          </cell>
          <cell r="C469" t="str">
            <v xml:space="preserve">S¾t thÐp m¹ kÏm </v>
          </cell>
          <cell r="D469" t="str">
            <v>kg</v>
          </cell>
          <cell r="E469">
            <v>56.77</v>
          </cell>
          <cell r="F469">
            <v>1</v>
          </cell>
          <cell r="G469">
            <v>9726</v>
          </cell>
          <cell r="J469">
            <v>552145.02</v>
          </cell>
        </row>
        <row r="470">
          <cell r="C470" t="str">
            <v>b. Nh©n c«ng</v>
          </cell>
        </row>
        <row r="471">
          <cell r="B471" t="str">
            <v>06.2120</v>
          </cell>
          <cell r="C471" t="str">
            <v>L¾p d©y nÐo</v>
          </cell>
          <cell r="D471" t="str">
            <v>bé</v>
          </cell>
          <cell r="E471">
            <v>1</v>
          </cell>
          <cell r="F471">
            <v>1</v>
          </cell>
          <cell r="H471">
            <v>5688</v>
          </cell>
          <cell r="I471">
            <v>1</v>
          </cell>
          <cell r="K471">
            <v>5688</v>
          </cell>
        </row>
        <row r="472">
          <cell r="B472" t="str">
            <v>02.1352</v>
          </cell>
          <cell r="C472" t="str">
            <v xml:space="preserve">VËn chuyÓn  b»ng thñ c«ng </v>
          </cell>
          <cell r="D472" t="str">
            <v>tÊn</v>
          </cell>
          <cell r="E472">
            <v>5.6770000000000001E-2</v>
          </cell>
          <cell r="F472">
            <v>1</v>
          </cell>
          <cell r="H472">
            <v>37068</v>
          </cell>
          <cell r="I472">
            <v>1</v>
          </cell>
          <cell r="K472">
            <v>2104.3503599999999</v>
          </cell>
        </row>
        <row r="474">
          <cell r="A474" t="str">
            <v>G§TBA</v>
          </cell>
          <cell r="C474" t="str">
            <v>Gi¸ ®ì tñ ®Iön TBA</v>
          </cell>
          <cell r="J474">
            <v>257293.79235000003</v>
          </cell>
          <cell r="K474">
            <v>4972.2070860000013</v>
          </cell>
        </row>
        <row r="475">
          <cell r="C475" t="str">
            <v xml:space="preserve">a. VËt liÖu  </v>
          </cell>
        </row>
        <row r="476">
          <cell r="C476" t="str">
            <v>ThÐp c¸c lo¹i  m¹ kÏm</v>
          </cell>
          <cell r="D476" t="str">
            <v>kg</v>
          </cell>
          <cell r="E476">
            <v>25.809000000000005</v>
          </cell>
          <cell r="F476">
            <v>1.0249999999999999</v>
          </cell>
          <cell r="G476">
            <v>9726</v>
          </cell>
          <cell r="J476">
            <v>257293.79235000003</v>
          </cell>
        </row>
        <row r="477">
          <cell r="C477" t="str">
            <v>b. Nh©n c«ng</v>
          </cell>
        </row>
        <row r="478">
          <cell r="B478" t="str">
            <v>04-8102</v>
          </cell>
          <cell r="C478" t="str">
            <v>L¾p gi¸ ®ì chèng sÐt èng</v>
          </cell>
          <cell r="D478" t="str">
            <v>kg</v>
          </cell>
          <cell r="E478">
            <v>25.809000000000005</v>
          </cell>
          <cell r="F478">
            <v>1</v>
          </cell>
          <cell r="H478">
            <v>155.58600000000001</v>
          </cell>
          <cell r="I478">
            <v>1</v>
          </cell>
          <cell r="K478">
            <v>4015.5190740000012</v>
          </cell>
        </row>
        <row r="479">
          <cell r="B479" t="str">
            <v>02-1352</v>
          </cell>
          <cell r="C479" t="str">
            <v>VËn chuyÓn xµ thÐp = thñ c«ng</v>
          </cell>
          <cell r="D479" t="str">
            <v>tÊn</v>
          </cell>
          <cell r="E479">
            <v>2.5809000000000006E-2</v>
          </cell>
          <cell r="F479">
            <v>1</v>
          </cell>
          <cell r="H479">
            <v>37068</v>
          </cell>
          <cell r="I479">
            <v>1</v>
          </cell>
          <cell r="K479">
            <v>956.68801200000019</v>
          </cell>
        </row>
        <row r="481">
          <cell r="A481" t="str">
            <v>X§T</v>
          </cell>
          <cell r="C481" t="str">
            <v>Xµ ®ãn d©y ®Çu tr¹m</v>
          </cell>
          <cell r="J481">
            <v>1201681.3410000002</v>
          </cell>
          <cell r="K481">
            <v>26342.570520000005</v>
          </cell>
        </row>
        <row r="482">
          <cell r="C482" t="str">
            <v xml:space="preserve">a. VËt liÖu  </v>
          </cell>
        </row>
        <row r="483">
          <cell r="C483" t="str">
            <v>ThÐp c¸c lo¹i  m¹ kÏm</v>
          </cell>
          <cell r="D483" t="str">
            <v>kg</v>
          </cell>
          <cell r="E483">
            <v>120.54000000000002</v>
          </cell>
          <cell r="F483">
            <v>1.0249999999999999</v>
          </cell>
          <cell r="G483">
            <v>9726</v>
          </cell>
          <cell r="J483">
            <v>1201681.3410000002</v>
          </cell>
        </row>
        <row r="484">
          <cell r="C484" t="str">
            <v>b. Nh©n c«ng</v>
          </cell>
        </row>
        <row r="485">
          <cell r="B485" t="str">
            <v>04-9102</v>
          </cell>
          <cell r="C485" t="str">
            <v>L¾p xµ</v>
          </cell>
          <cell r="D485" t="str">
            <v>kg</v>
          </cell>
          <cell r="E485">
            <v>120.54000000000002</v>
          </cell>
          <cell r="F485">
            <v>1</v>
          </cell>
          <cell r="H485">
            <v>181.47</v>
          </cell>
          <cell r="I485">
            <v>1</v>
          </cell>
          <cell r="K485">
            <v>21874.393800000005</v>
          </cell>
        </row>
        <row r="486">
          <cell r="B486" t="str">
            <v>02-1352</v>
          </cell>
          <cell r="C486" t="str">
            <v>VËn chuyÓn xµ thÐp = thñ c«ng</v>
          </cell>
          <cell r="D486" t="str">
            <v>tÊn</v>
          </cell>
          <cell r="E486">
            <v>0.12054000000000002</v>
          </cell>
          <cell r="F486">
            <v>1</v>
          </cell>
          <cell r="H486">
            <v>37068</v>
          </cell>
          <cell r="I486">
            <v>1</v>
          </cell>
          <cell r="K486">
            <v>4468.1767200000004</v>
          </cell>
        </row>
        <row r="488">
          <cell r="A488" t="str">
            <v>XPK35</v>
          </cell>
          <cell r="C488" t="str">
            <v>Xµ b¾t cÇu ch× PK 35kV</v>
          </cell>
          <cell r="J488">
            <v>778889.68950000009</v>
          </cell>
          <cell r="K488">
            <v>17074.373940000001</v>
          </cell>
        </row>
        <row r="489">
          <cell r="C489" t="str">
            <v xml:space="preserve">a. VËt liÖu  </v>
          </cell>
        </row>
        <row r="490">
          <cell r="C490" t="str">
            <v>ThÐp c¸c lo¹i  m¹ kÏm</v>
          </cell>
          <cell r="D490" t="str">
            <v>kg</v>
          </cell>
          <cell r="E490">
            <v>78.13000000000001</v>
          </cell>
          <cell r="F490">
            <v>1.0249999999999999</v>
          </cell>
          <cell r="G490">
            <v>9726</v>
          </cell>
          <cell r="J490">
            <v>778889.68950000009</v>
          </cell>
        </row>
        <row r="491">
          <cell r="C491" t="str">
            <v>b. Nh©n c«ng</v>
          </cell>
        </row>
        <row r="492">
          <cell r="B492" t="str">
            <v>04-9102</v>
          </cell>
          <cell r="C492" t="str">
            <v>L¾p xµ</v>
          </cell>
          <cell r="D492" t="str">
            <v>kg</v>
          </cell>
          <cell r="E492">
            <v>78.13000000000001</v>
          </cell>
          <cell r="F492">
            <v>1</v>
          </cell>
          <cell r="H492">
            <v>181.47</v>
          </cell>
          <cell r="I492">
            <v>1</v>
          </cell>
          <cell r="K492">
            <v>14178.251100000001</v>
          </cell>
        </row>
        <row r="493">
          <cell r="B493" t="str">
            <v>02-1352</v>
          </cell>
          <cell r="C493" t="str">
            <v>VËn chuyÓn xµ thÐp = thñ c«ng</v>
          </cell>
          <cell r="D493" t="str">
            <v>tÊn</v>
          </cell>
          <cell r="E493">
            <v>7.8130000000000005E-2</v>
          </cell>
          <cell r="F493">
            <v>1</v>
          </cell>
          <cell r="H493">
            <v>37068</v>
          </cell>
          <cell r="I493">
            <v>1</v>
          </cell>
          <cell r="K493">
            <v>2896.12284</v>
          </cell>
        </row>
        <row r="495">
          <cell r="A495" t="str">
            <v>G§MBA</v>
          </cell>
          <cell r="C495" t="str">
            <v>Gi¸ ®ì m¸y biÕn ¸p + coliª</v>
          </cell>
          <cell r="J495">
            <v>3767541.1680000001</v>
          </cell>
          <cell r="K495">
            <v>72964.258560000002</v>
          </cell>
        </row>
        <row r="496">
          <cell r="C496" t="str">
            <v xml:space="preserve">a. VËt liÖu  </v>
          </cell>
        </row>
        <row r="497">
          <cell r="C497" t="str">
            <v>ThÐp c¸c lo¹i  m¹ kÏm</v>
          </cell>
          <cell r="D497" t="str">
            <v>kg</v>
          </cell>
          <cell r="E497">
            <v>377.92</v>
          </cell>
          <cell r="F497">
            <v>1.0249999999999999</v>
          </cell>
          <cell r="G497">
            <v>9726</v>
          </cell>
          <cell r="J497">
            <v>3767541.1680000001</v>
          </cell>
        </row>
        <row r="498">
          <cell r="C498" t="str">
            <v>b. Nh©n c«ng</v>
          </cell>
        </row>
        <row r="499">
          <cell r="B499" t="str">
            <v>04-8102</v>
          </cell>
          <cell r="C499" t="str">
            <v>L¾p gi¸</v>
          </cell>
          <cell r="D499" t="str">
            <v>kg</v>
          </cell>
          <cell r="E499">
            <v>377.92</v>
          </cell>
          <cell r="F499">
            <v>1</v>
          </cell>
          <cell r="H499">
            <v>156</v>
          </cell>
          <cell r="I499">
            <v>1</v>
          </cell>
          <cell r="K499">
            <v>58955.520000000004</v>
          </cell>
        </row>
        <row r="500">
          <cell r="B500" t="str">
            <v>02-1352</v>
          </cell>
          <cell r="C500" t="str">
            <v>VËn chuyÓn xµ thÐp = thñ c«ng</v>
          </cell>
          <cell r="D500" t="str">
            <v>tÊn</v>
          </cell>
          <cell r="E500">
            <v>0.37792000000000003</v>
          </cell>
          <cell r="F500">
            <v>1</v>
          </cell>
          <cell r="H500">
            <v>37068</v>
          </cell>
          <cell r="I500">
            <v>1</v>
          </cell>
          <cell r="K500">
            <v>14008.738560000002</v>
          </cell>
        </row>
        <row r="502">
          <cell r="A502" t="str">
            <v>G§G</v>
          </cell>
          <cell r="C502" t="str">
            <v>Gi¸ ®ì ghÕ thao t¸c</v>
          </cell>
          <cell r="J502">
            <v>2158420.6665000003</v>
          </cell>
          <cell r="K502">
            <v>41801.152680000007</v>
          </cell>
        </row>
        <row r="503">
          <cell r="C503" t="str">
            <v xml:space="preserve">a. VËt liÖu  </v>
          </cell>
        </row>
        <row r="504">
          <cell r="C504" t="str">
            <v>ThÐp c¸c lo¹i  m¹ kÏm</v>
          </cell>
          <cell r="D504" t="str">
            <v>kg</v>
          </cell>
          <cell r="E504">
            <v>216.51000000000002</v>
          </cell>
          <cell r="F504">
            <v>1.0249999999999999</v>
          </cell>
          <cell r="G504">
            <v>9726</v>
          </cell>
          <cell r="J504">
            <v>2158420.6665000003</v>
          </cell>
        </row>
        <row r="505">
          <cell r="C505" t="str">
            <v>b. Nh©n c«ng</v>
          </cell>
        </row>
        <row r="506">
          <cell r="B506" t="str">
            <v>04-8102</v>
          </cell>
          <cell r="C506" t="str">
            <v>L¾p gi¸</v>
          </cell>
          <cell r="D506" t="str">
            <v>kg</v>
          </cell>
          <cell r="E506">
            <v>216.51000000000002</v>
          </cell>
          <cell r="F506">
            <v>1</v>
          </cell>
          <cell r="H506">
            <v>156</v>
          </cell>
          <cell r="I506">
            <v>1</v>
          </cell>
          <cell r="K506">
            <v>33775.560000000005</v>
          </cell>
        </row>
        <row r="507">
          <cell r="B507" t="str">
            <v>02-1352</v>
          </cell>
          <cell r="C507" t="str">
            <v>VËn chuyÓn xµ thÐp = thñ c«ng</v>
          </cell>
          <cell r="D507" t="str">
            <v>tÊn</v>
          </cell>
          <cell r="E507">
            <v>0.21651000000000001</v>
          </cell>
          <cell r="F507">
            <v>1</v>
          </cell>
          <cell r="H507">
            <v>37068</v>
          </cell>
          <cell r="I507">
            <v>1</v>
          </cell>
          <cell r="K507">
            <v>8025.5926800000007</v>
          </cell>
        </row>
        <row r="509">
          <cell r="A509" t="str">
            <v>Thang</v>
          </cell>
          <cell r="C509" t="str">
            <v>Thang trÌo</v>
          </cell>
          <cell r="J509">
            <v>311775.19709999999</v>
          </cell>
          <cell r="K509">
            <v>6038.0086320000009</v>
          </cell>
        </row>
        <row r="510">
          <cell r="C510" t="str">
            <v xml:space="preserve">a. VËt liÖu  </v>
          </cell>
        </row>
        <row r="511">
          <cell r="C511" t="str">
            <v>ThÐp c¸c lo¹i  m¹ kÏm</v>
          </cell>
          <cell r="D511" t="str">
            <v>kg</v>
          </cell>
          <cell r="E511">
            <v>31.274000000000001</v>
          </cell>
          <cell r="F511">
            <v>1.0249999999999999</v>
          </cell>
          <cell r="G511">
            <v>9726</v>
          </cell>
          <cell r="J511">
            <v>311775.19709999999</v>
          </cell>
        </row>
        <row r="512">
          <cell r="C512" t="str">
            <v>b. Nh©n c«ng</v>
          </cell>
        </row>
        <row r="513">
          <cell r="B513" t="str">
            <v>04-8102</v>
          </cell>
          <cell r="C513" t="str">
            <v>L¾p gi¸</v>
          </cell>
          <cell r="D513" t="str">
            <v>kg</v>
          </cell>
          <cell r="E513">
            <v>31.274000000000001</v>
          </cell>
          <cell r="F513">
            <v>1</v>
          </cell>
          <cell r="H513">
            <v>156</v>
          </cell>
          <cell r="I513">
            <v>1</v>
          </cell>
          <cell r="K513">
            <v>4878.7440000000006</v>
          </cell>
        </row>
        <row r="514">
          <cell r="B514" t="str">
            <v>02-1352</v>
          </cell>
          <cell r="C514" t="str">
            <v>VËn chuyÓn xµ thÐp = thñ c«ng</v>
          </cell>
          <cell r="D514" t="str">
            <v>tÊn</v>
          </cell>
          <cell r="E514">
            <v>3.1274000000000003E-2</v>
          </cell>
          <cell r="F514">
            <v>1</v>
          </cell>
          <cell r="H514">
            <v>37068</v>
          </cell>
          <cell r="I514">
            <v>1</v>
          </cell>
          <cell r="J514">
            <v>205000</v>
          </cell>
          <cell r="K514">
            <v>1159.2646320000001</v>
          </cell>
        </row>
        <row r="516">
          <cell r="A516" t="str">
            <v>XCSV35</v>
          </cell>
          <cell r="C516" t="str">
            <v>Xµ ®ì chèng sÐt van 35kV</v>
          </cell>
          <cell r="J516">
            <v>610311.36300000001</v>
          </cell>
          <cell r="K516">
            <v>13378.896359999999</v>
          </cell>
        </row>
        <row r="517">
          <cell r="C517" t="str">
            <v xml:space="preserve">a. VËt liÖu  </v>
          </cell>
        </row>
        <row r="518">
          <cell r="C518" t="str">
            <v>ThÐp c¸c lo¹i  m¹ kÏm</v>
          </cell>
          <cell r="D518" t="str">
            <v>kg</v>
          </cell>
          <cell r="E518">
            <v>61.22</v>
          </cell>
          <cell r="F518">
            <v>1.0249999999999999</v>
          </cell>
          <cell r="G518">
            <v>9726</v>
          </cell>
          <cell r="J518">
            <v>610311.36300000001</v>
          </cell>
        </row>
        <row r="519">
          <cell r="C519" t="str">
            <v>b. Nh©n c«ng</v>
          </cell>
        </row>
        <row r="520">
          <cell r="B520" t="str">
            <v>04-9102</v>
          </cell>
          <cell r="C520" t="str">
            <v>L¾p xµ</v>
          </cell>
          <cell r="D520" t="str">
            <v>kg</v>
          </cell>
          <cell r="E520">
            <v>61.22</v>
          </cell>
          <cell r="F520">
            <v>1</v>
          </cell>
          <cell r="H520">
            <v>181.47</v>
          </cell>
          <cell r="I520">
            <v>1</v>
          </cell>
          <cell r="K520">
            <v>11109.5934</v>
          </cell>
        </row>
        <row r="521">
          <cell r="B521" t="str">
            <v>02-1352</v>
          </cell>
          <cell r="C521" t="str">
            <v>VËn chuyÓn xµ thÐp = thñ c«ng</v>
          </cell>
          <cell r="D521" t="str">
            <v>tÊn</v>
          </cell>
          <cell r="E521">
            <v>6.1219999999999997E-2</v>
          </cell>
          <cell r="F521">
            <v>1</v>
          </cell>
          <cell r="H521">
            <v>37068</v>
          </cell>
          <cell r="I521">
            <v>1</v>
          </cell>
          <cell r="K521">
            <v>2269.30296</v>
          </cell>
        </row>
        <row r="523">
          <cell r="A523" t="str">
            <v>S§§-35</v>
          </cell>
          <cell r="C523" t="str">
            <v xml:space="preserve"> Sø ®øng S§§-35kV</v>
          </cell>
          <cell r="J523">
            <v>123821</v>
          </cell>
          <cell r="K523">
            <v>2972.8</v>
          </cell>
        </row>
        <row r="524">
          <cell r="C524" t="str">
            <v xml:space="preserve">a. VËt liÖu  </v>
          </cell>
        </row>
        <row r="525">
          <cell r="C525" t="str">
            <v>Mua sø S§§-35kV</v>
          </cell>
          <cell r="D525" t="str">
            <v xml:space="preserve">qu¶ </v>
          </cell>
          <cell r="E525">
            <v>1</v>
          </cell>
          <cell r="G525">
            <v>123666</v>
          </cell>
          <cell r="I525">
            <v>1</v>
          </cell>
          <cell r="J525">
            <v>123666</v>
          </cell>
        </row>
        <row r="526">
          <cell r="B526" t="str">
            <v>06.1103</v>
          </cell>
          <cell r="C526" t="str">
            <v xml:space="preserve">VËt liÖu phô </v>
          </cell>
          <cell r="D526" t="str">
            <v xml:space="preserve">qu¶ </v>
          </cell>
          <cell r="E526">
            <v>1</v>
          </cell>
          <cell r="G526">
            <v>155</v>
          </cell>
          <cell r="I526">
            <v>1</v>
          </cell>
          <cell r="J526">
            <v>155</v>
          </cell>
        </row>
        <row r="527">
          <cell r="C527" t="str">
            <v>b. Nh©n c«ng</v>
          </cell>
        </row>
        <row r="528">
          <cell r="B528" t="str">
            <v>06.1103</v>
          </cell>
          <cell r="C528" t="str">
            <v xml:space="preserve">L¾p sø trªn cét </v>
          </cell>
          <cell r="D528" t="str">
            <v xml:space="preserve">qu¶ </v>
          </cell>
          <cell r="E528">
            <v>1</v>
          </cell>
          <cell r="H528">
            <v>2972.8</v>
          </cell>
          <cell r="I528">
            <v>1</v>
          </cell>
          <cell r="K528">
            <v>2972.8</v>
          </cell>
        </row>
        <row r="530">
          <cell r="A530" t="str">
            <v>VH§35</v>
          </cell>
          <cell r="C530" t="str">
            <v xml:space="preserve"> Sø ®øngVH§-35kV</v>
          </cell>
          <cell r="J530">
            <v>205000</v>
          </cell>
          <cell r="K530">
            <v>7313</v>
          </cell>
        </row>
        <row r="531">
          <cell r="C531" t="str">
            <v xml:space="preserve">a. VËt liÖu  </v>
          </cell>
        </row>
        <row r="532">
          <cell r="C532" t="str">
            <v>Mua sø VH§-35kV</v>
          </cell>
          <cell r="D532" t="str">
            <v xml:space="preserve">qu¶ </v>
          </cell>
          <cell r="E532">
            <v>1</v>
          </cell>
          <cell r="G532">
            <v>135000</v>
          </cell>
          <cell r="I532">
            <v>1</v>
          </cell>
          <cell r="J532">
            <v>135000</v>
          </cell>
        </row>
        <row r="533">
          <cell r="C533" t="str">
            <v xml:space="preserve">VËt liÖu phô </v>
          </cell>
          <cell r="D533" t="str">
            <v>c¸i</v>
          </cell>
          <cell r="E533">
            <v>1</v>
          </cell>
          <cell r="G533">
            <v>70000</v>
          </cell>
          <cell r="I533">
            <v>1</v>
          </cell>
          <cell r="J533">
            <v>70000</v>
          </cell>
        </row>
        <row r="534">
          <cell r="C534" t="str">
            <v>b. Nh©n c«ng</v>
          </cell>
        </row>
        <row r="535">
          <cell r="B535" t="str">
            <v>06.1421</v>
          </cell>
          <cell r="C535" t="str">
            <v xml:space="preserve">L¾p sø trªn cét </v>
          </cell>
          <cell r="D535" t="str">
            <v>chuçi</v>
          </cell>
          <cell r="E535">
            <v>1</v>
          </cell>
          <cell r="H535">
            <v>7313</v>
          </cell>
          <cell r="I535">
            <v>1</v>
          </cell>
          <cell r="K535">
            <v>7313</v>
          </cell>
        </row>
        <row r="537">
          <cell r="A537" t="str">
            <v>SCN35</v>
          </cell>
          <cell r="C537" t="str">
            <v xml:space="preserve"> Sø chuçi nÐo d©y dÉn 35kV</v>
          </cell>
          <cell r="J537">
            <v>428979</v>
          </cell>
          <cell r="K537">
            <v>7313</v>
          </cell>
        </row>
        <row r="538">
          <cell r="C538" t="str">
            <v xml:space="preserve">a. VËt liÖu  </v>
          </cell>
        </row>
        <row r="539">
          <cell r="C539" t="str">
            <v>Bu l«ng ch÷ U</v>
          </cell>
          <cell r="D539" t="str">
            <v>c¸i</v>
          </cell>
          <cell r="E539">
            <v>2</v>
          </cell>
          <cell r="F539">
            <v>1</v>
          </cell>
          <cell r="G539">
            <v>7313</v>
          </cell>
          <cell r="J539">
            <v>14626</v>
          </cell>
        </row>
        <row r="540">
          <cell r="C540" t="str">
            <v>C¸ch ®iÖn (PC70-P)</v>
          </cell>
          <cell r="D540" t="str">
            <v>c¸i</v>
          </cell>
          <cell r="E540">
            <v>4</v>
          </cell>
          <cell r="F540">
            <v>1</v>
          </cell>
          <cell r="G540">
            <v>89000</v>
          </cell>
          <cell r="J540">
            <v>356000</v>
          </cell>
        </row>
        <row r="541">
          <cell r="C541" t="str">
            <v>M¾t nèi ®¬n MN1-6</v>
          </cell>
          <cell r="D541" t="str">
            <v>c¸i</v>
          </cell>
          <cell r="E541">
            <v>1</v>
          </cell>
          <cell r="F541">
            <v>1</v>
          </cell>
          <cell r="G541">
            <v>9238</v>
          </cell>
          <cell r="J541">
            <v>9238</v>
          </cell>
        </row>
        <row r="542">
          <cell r="C542" t="str">
            <v>Vßng treo VT-6</v>
          </cell>
          <cell r="D542" t="str">
            <v>c¸i</v>
          </cell>
          <cell r="E542">
            <v>1</v>
          </cell>
          <cell r="F542">
            <v>1</v>
          </cell>
          <cell r="G542">
            <v>5306</v>
          </cell>
          <cell r="J542">
            <v>5306</v>
          </cell>
        </row>
        <row r="543">
          <cell r="C543" t="str">
            <v>Kho¸ ®ì §-912</v>
          </cell>
          <cell r="D543" t="str">
            <v>c¸i</v>
          </cell>
          <cell r="E543">
            <v>1</v>
          </cell>
          <cell r="F543">
            <v>1</v>
          </cell>
          <cell r="G543">
            <v>43809</v>
          </cell>
          <cell r="J543">
            <v>43809</v>
          </cell>
        </row>
        <row r="544">
          <cell r="B544" t="str">
            <v>06.1421</v>
          </cell>
          <cell r="C544" t="str">
            <v xml:space="preserve">VËt liÖu phô </v>
          </cell>
          <cell r="D544" t="str">
            <v xml:space="preserve">chuçi </v>
          </cell>
          <cell r="E544">
            <v>1</v>
          </cell>
          <cell r="F544">
            <v>1</v>
          </cell>
          <cell r="G544">
            <v>610</v>
          </cell>
          <cell r="J544">
            <v>610</v>
          </cell>
        </row>
        <row r="545">
          <cell r="C545" t="str">
            <v>b. Nh©n c«ng</v>
          </cell>
        </row>
        <row r="546">
          <cell r="B546" t="str">
            <v>06.1421</v>
          </cell>
          <cell r="C546" t="str">
            <v xml:space="preserve">L¾p sø  chuçi trªn cét </v>
          </cell>
          <cell r="D546" t="str">
            <v xml:space="preserve">qu¶ </v>
          </cell>
          <cell r="E546">
            <v>1</v>
          </cell>
          <cell r="F546">
            <v>1</v>
          </cell>
          <cell r="H546">
            <v>7313</v>
          </cell>
          <cell r="I546">
            <v>1</v>
          </cell>
          <cell r="K546">
            <v>7313</v>
          </cell>
        </row>
        <row r="548">
          <cell r="A548" t="str">
            <v>AC70</v>
          </cell>
          <cell r="C548" t="str">
            <v>D©y nh«m lâi thÐp AC 70/11</v>
          </cell>
          <cell r="J548">
            <v>6949.5000000000009</v>
          </cell>
          <cell r="K548">
            <v>349</v>
          </cell>
        </row>
        <row r="549">
          <cell r="C549" t="str">
            <v xml:space="preserve">a. VËt liÖu  </v>
          </cell>
        </row>
        <row r="550">
          <cell r="C550" t="str">
            <v>D©y AC 70/11</v>
          </cell>
          <cell r="D550" t="str">
            <v>m</v>
          </cell>
          <cell r="E550">
            <v>1</v>
          </cell>
          <cell r="G550">
            <v>6737.5000000000009</v>
          </cell>
          <cell r="I550">
            <v>1</v>
          </cell>
          <cell r="J550">
            <v>6737.5000000000009</v>
          </cell>
        </row>
        <row r="551">
          <cell r="B551" t="str">
            <v>06-6105</v>
          </cell>
          <cell r="C551" t="str">
            <v xml:space="preserve">VËt liÖu phô </v>
          </cell>
          <cell r="D551" t="str">
            <v>m</v>
          </cell>
          <cell r="E551">
            <v>1</v>
          </cell>
          <cell r="G551">
            <v>212</v>
          </cell>
          <cell r="I551">
            <v>1</v>
          </cell>
          <cell r="J551">
            <v>212</v>
          </cell>
        </row>
        <row r="552">
          <cell r="C552" t="str">
            <v>b. Nh©n c«ng</v>
          </cell>
        </row>
        <row r="553">
          <cell r="B553" t="str">
            <v>06-6105</v>
          </cell>
          <cell r="C553" t="str">
            <v>Nh©n c«ng c¨ng r¶I d©y</v>
          </cell>
          <cell r="D553" t="str">
            <v>m</v>
          </cell>
          <cell r="E553">
            <v>1</v>
          </cell>
          <cell r="H553">
            <v>349</v>
          </cell>
          <cell r="I553">
            <v>1</v>
          </cell>
          <cell r="K553">
            <v>349</v>
          </cell>
        </row>
        <row r="555">
          <cell r="A555" t="str">
            <v>4*70</v>
          </cell>
          <cell r="C555" t="str">
            <v>C¸p vÆn xo¾n ALUS 4 x 70</v>
          </cell>
          <cell r="J555">
            <v>36968</v>
          </cell>
          <cell r="K555">
            <v>1223.3124999999998</v>
          </cell>
        </row>
        <row r="556">
          <cell r="C556" t="str">
            <v xml:space="preserve">a. VËt liÖu  </v>
          </cell>
        </row>
        <row r="557">
          <cell r="C557" t="str">
            <v>C¸p vÆn xo¾n ALUS 4 x 70</v>
          </cell>
          <cell r="D557" t="str">
            <v>m</v>
          </cell>
          <cell r="E557">
            <v>1</v>
          </cell>
          <cell r="F557">
            <v>1.03</v>
          </cell>
          <cell r="G557">
            <v>36670</v>
          </cell>
          <cell r="I557">
            <v>1</v>
          </cell>
          <cell r="J557">
            <v>36670</v>
          </cell>
        </row>
        <row r="558">
          <cell r="B558" t="str">
            <v>06-6111</v>
          </cell>
          <cell r="C558" t="str">
            <v xml:space="preserve">VËt liÖu phô </v>
          </cell>
          <cell r="D558" t="str">
            <v>m</v>
          </cell>
          <cell r="E558">
            <v>1</v>
          </cell>
          <cell r="G558">
            <v>298</v>
          </cell>
          <cell r="I558">
            <v>1</v>
          </cell>
          <cell r="J558">
            <v>298</v>
          </cell>
        </row>
        <row r="559">
          <cell r="C559" t="str">
            <v>b. Nh©n c«ng</v>
          </cell>
        </row>
        <row r="560">
          <cell r="B560" t="str">
            <v>06-6111</v>
          </cell>
          <cell r="C560" t="str">
            <v>Nh©n c«ng c¨ng r¶I d©y</v>
          </cell>
          <cell r="D560" t="str">
            <v>m</v>
          </cell>
          <cell r="E560">
            <v>1</v>
          </cell>
          <cell r="H560">
            <v>925</v>
          </cell>
          <cell r="I560">
            <v>1.1499999999999999</v>
          </cell>
          <cell r="K560">
            <v>1223.3124999999998</v>
          </cell>
        </row>
        <row r="562">
          <cell r="A562" t="str">
            <v>4*35</v>
          </cell>
          <cell r="C562" t="str">
            <v>C¸p vÆn xo¾n ALUS 4 x 35</v>
          </cell>
          <cell r="J562">
            <v>20298</v>
          </cell>
          <cell r="K562">
            <v>1223.3124999999998</v>
          </cell>
        </row>
        <row r="563">
          <cell r="C563" t="str">
            <v xml:space="preserve">a. VËt liÖu  </v>
          </cell>
        </row>
        <row r="564">
          <cell r="C564" t="str">
            <v>C¸p vÆn xo¾n ALUS 4 x 35</v>
          </cell>
          <cell r="D564" t="str">
            <v>m</v>
          </cell>
          <cell r="E564">
            <v>1</v>
          </cell>
          <cell r="F564">
            <v>1.03</v>
          </cell>
          <cell r="G564">
            <v>20000</v>
          </cell>
          <cell r="I564">
            <v>1</v>
          </cell>
          <cell r="J564">
            <v>20000</v>
          </cell>
        </row>
        <row r="565">
          <cell r="B565" t="str">
            <v>06-6111</v>
          </cell>
          <cell r="C565" t="str">
            <v xml:space="preserve">VËt liÖu phô </v>
          </cell>
          <cell r="D565" t="str">
            <v>m</v>
          </cell>
          <cell r="E565">
            <v>1</v>
          </cell>
          <cell r="G565">
            <v>298</v>
          </cell>
          <cell r="I565">
            <v>1</v>
          </cell>
          <cell r="J565">
            <v>298</v>
          </cell>
        </row>
        <row r="566">
          <cell r="C566" t="str">
            <v>b. Nh©n c«ng</v>
          </cell>
        </row>
        <row r="567">
          <cell r="B567" t="str">
            <v>06-6111</v>
          </cell>
          <cell r="C567" t="str">
            <v>Nh©n c«ng c¨ng r¶I d©y</v>
          </cell>
          <cell r="D567" t="str">
            <v>m</v>
          </cell>
          <cell r="E567">
            <v>1</v>
          </cell>
          <cell r="H567">
            <v>925</v>
          </cell>
          <cell r="I567">
            <v>1.1499999999999999</v>
          </cell>
          <cell r="K567">
            <v>1223.3124999999998</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VL_NC_MTC"/>
      <sheetName val="DI-ESTI"/>
      <sheetName val="duong_cong_vu"/>
      <sheetName val="duongcv_dg"/>
      <sheetName val="cong_dgcv"/>
      <sheetName val="ghtcv"/>
      <sheetName val="T.bao gia cua co so SX cv"/>
      <sheetName val="Tong phan B"/>
      <sheetName val="Tong phan III"/>
      <sheetName val="Tong phan II"/>
      <sheetName val="Tong phan I"/>
      <sheetName val="Tong hop"/>
      <sheetName val="Xay_lap_duong_K5-K10+886"/>
      <sheetName val="Chi tiet_Km0-Km10"/>
      <sheetName val="BaoCao"/>
      <sheetName val="Chi tiet_Km5-Km10+886"/>
      <sheetName val="don gia_nen mat_K5-K10+886"/>
      <sheetName val="don gia_nen mat_K0-K5"/>
      <sheetName val="Chi tiet lan trai"/>
      <sheetName val="Chi tiet CPK"/>
      <sheetName val="don gia_cg_Km0-Km5"/>
      <sheetName val="don gia_cg_Km5-Km10+886"/>
      <sheetName val="chi tiet_cong doc_Km0-Km5"/>
      <sheetName val="Cong coc P1_K0+55,67"/>
      <sheetName val="Cong coc 5_K0+101,85"/>
      <sheetName val="Cong coc 8_K0+143,26"/>
      <sheetName val="Cong coc 22A_K0+364,30"/>
      <sheetName val="Cong coc 32_K0+563,50"/>
      <sheetName val="Cong coc 37_K0+745,87"/>
      <sheetName val="Cong coc TC5_K0+822,34"/>
      <sheetName val="Cong coc 41A_K0+937,69"/>
      <sheetName val="Cong coc 49_K1+161,29"/>
      <sheetName val="Cong coc 51_K1+211,39"/>
      <sheetName val="Cong coc 55_K1+303,09"/>
      <sheetName val="Cong coc 25_K3+173,04"/>
      <sheetName val="Cong coc 1_K5+78,57"/>
      <sheetName val="Cong coc 10A_K5+292,56"/>
      <sheetName val="Cong coc 12A_K5+336,6"/>
      <sheetName val="Cong coc 17_K5+472,68"/>
      <sheetName val="Cong coc 23_K5+584,98"/>
      <sheetName val="Cong coc TC21_K5+686,35"/>
      <sheetName val="Cong coc 30_K5+867,02"/>
      <sheetName val="Cong coc 35_K6+47"/>
      <sheetName val="Cong coc 41_K6+287,64"/>
      <sheetName val="Cong coc H6_K6+600"/>
      <sheetName val="Cong coc TD27_K6+821,84"/>
      <sheetName val="Cong coc 58_K7+47,68"/>
      <sheetName val="Cong coc 85_K7+783,69"/>
      <sheetName val="Cong coc 88_K7+873,34"/>
      <sheetName val="Cong coc TC31_K7+967,89"/>
      <sheetName val="Cong coc 89_K8+25,01"/>
      <sheetName val="Cong coc 99_K8+237,27"/>
      <sheetName val="Cong coc H3_K8+300"/>
      <sheetName val="Cong coc 9_K8+486,9"/>
      <sheetName val="Cong coc 31_K8+880,15"/>
      <sheetName val="Cong coc 42_K9+113,59"/>
      <sheetName val="Cong coc 52_K9+257,96"/>
      <sheetName val="Cong coc 60_K9+563,3"/>
      <sheetName val="Cong coc 61_K9+643,5"/>
      <sheetName val="Cong coc 64_K9+749,53"/>
      <sheetName val="Cong coc TC42_K9+950,44"/>
      <sheetName val="Cong coc 81_K10+263,22"/>
      <sheetName val="Cong coc TC44_K10+372,42"/>
      <sheetName val="Cong coc P48_K10+797,11"/>
      <sheetName val="Cong hop coc 46_K1+98,29"/>
      <sheetName val="Cong hop coc 60_K1+479,39"/>
      <sheetName val="Cong hop coc 71_K1+785,3"/>
      <sheetName val="Cong hop coc Km2"/>
      <sheetName val="Cong hop coc 13A_K2+789,7"/>
      <sheetName val="Cong hop coc 19A_K2+905"/>
      <sheetName val="Cong hop coc 45_K3+924,79"/>
      <sheetName val="Cong hop coc 67_K4+227,55"/>
      <sheetName val="Cong hop coc 80_K4+481,95"/>
      <sheetName val="Cong hop coc A_K4+678,26"/>
      <sheetName val="Cong hop coc A_K4+723,53"/>
      <sheetName val="Cong hop coc 27_K5+782,02"/>
      <sheetName val="Cong hop coc 32_K5+948,07"/>
      <sheetName val="Cong hop coc 38_K6+155,43"/>
      <sheetName val="Cong hop coc 51_K6+725"/>
      <sheetName val="Cong hop coc P28_K7+213,55"/>
      <sheetName val="Cong hop coc 73_K7+424,11"/>
      <sheetName val="Cong hop coc 75_K7+528,34"/>
      <sheetName val="Cong hop coc 97_K8+179,76"/>
      <sheetName val="Cong hop coc C_K8+836,95"/>
      <sheetName val="GHT_Km0-Km5"/>
      <sheetName val="GHT_Km5-Km10+886"/>
      <sheetName val="Bang luong"/>
      <sheetName val="Gia T.bao co so SX"/>
      <sheetName val="00000000"/>
      <sheetName val="10000000"/>
      <sheetName val="20000000"/>
      <sheetName val="30000000"/>
      <sheetName val="40000000"/>
      <sheetName val="xxxxxxxx"/>
      <sheetName val="50000000"/>
      <sheetName val="60000000"/>
      <sheetName val="70000000"/>
      <sheetName val="80000000"/>
      <sheetName val="a0000000"/>
      <sheetName val="90000000"/>
      <sheetName val="DLDT"/>
      <sheetName val="DG vat tu"/>
      <sheetName val="gvl"/>
      <sheetName val="TONGKE-HT"/>
      <sheetName val="LKVL-CK-HT-GD1"/>
      <sheetName val="Ctinh 10kV"/>
      <sheetName val="ESTI."/>
      <sheetName val="Don gia"/>
      <sheetName val="CT-DZ22"/>
      <sheetName val="dg tphcm"/>
      <sheetName val="Don gia Soc Trang"/>
      <sheetName val="TT-TBA35"/>
      <sheetName val="DONGIA"/>
      <sheetName val="[Dù to¸n.xl9_x0000_9_x0000_੬Ă_x0000__x0000__x0001__x0000__x0003_"/>
      <sheetName val="CTinh"/>
      <sheetName val="[Dù to¸n.xl9?9?੬Ă??_x0001_?_x0003_"/>
      <sheetName val="_Dù to¸n.xl9"/>
      <sheetName val="_Dù to¸n.xl9_9_੬Ă___x0001___x0003_"/>
      <sheetName val="HelpMe"/>
      <sheetName val="Sheet2"/>
      <sheetName val="Sheet3"/>
    </sheetNames>
    <sheetDataSet>
      <sheetData sheetId="0"/>
      <sheetData sheetId="1"/>
      <sheetData sheetId="2" refreshError="1">
        <row r="4">
          <cell r="B4" t="str">
            <v>Mãng M1-7</v>
          </cell>
          <cell r="C4" t="str">
            <v>mãng</v>
          </cell>
          <cell r="D4">
            <v>19</v>
          </cell>
          <cell r="E4">
            <v>197715.34960000002</v>
          </cell>
        </row>
        <row r="5">
          <cell r="B5" t="str">
            <v>Mãng M2-7</v>
          </cell>
          <cell r="C5" t="str">
            <v>mãng</v>
          </cell>
          <cell r="D5">
            <v>20</v>
          </cell>
          <cell r="E5">
            <v>370716.28049999999</v>
          </cell>
        </row>
        <row r="6">
          <cell r="B6" t="str">
            <v>Mãng M1-8</v>
          </cell>
          <cell r="C6" t="str">
            <v>mãng</v>
          </cell>
          <cell r="D6">
            <v>3</v>
          </cell>
          <cell r="E6">
            <v>326230.32684000005</v>
          </cell>
        </row>
        <row r="7">
          <cell r="B7" t="str">
            <v>Mãng M2-8</v>
          </cell>
          <cell r="C7" t="str">
            <v>mãng</v>
          </cell>
          <cell r="D7">
            <v>9</v>
          </cell>
          <cell r="E7">
            <v>652460.6536800001</v>
          </cell>
        </row>
        <row r="8">
          <cell r="B8" t="str">
            <v>Cét bª t«ng vu«ng CV - 7,5</v>
          </cell>
          <cell r="C8" t="str">
            <v>Cét</v>
          </cell>
          <cell r="D8">
            <v>59</v>
          </cell>
          <cell r="E8">
            <v>492504</v>
          </cell>
        </row>
        <row r="9">
          <cell r="B9" t="str">
            <v>Cét bª t«ng vu«ng CV - 8,5</v>
          </cell>
          <cell r="C9" t="str">
            <v>Cét</v>
          </cell>
          <cell r="D9">
            <v>21</v>
          </cell>
          <cell r="E9">
            <v>610314</v>
          </cell>
        </row>
        <row r="10">
          <cell r="B10" t="str">
            <v>TiÕp ®Þa lÆp l¹i RLL</v>
          </cell>
          <cell r="C10" t="str">
            <v>V/t</v>
          </cell>
          <cell r="D10">
            <v>13</v>
          </cell>
          <cell r="E10">
            <v>272075.25</v>
          </cell>
        </row>
        <row r="11">
          <cell r="B11" t="str">
            <v>Xµ X1 - 4V</v>
          </cell>
          <cell r="C11" t="str">
            <v>Bé</v>
          </cell>
          <cell r="D11">
            <v>14</v>
          </cell>
          <cell r="E11">
            <v>59500</v>
          </cell>
        </row>
        <row r="12">
          <cell r="B12" t="str">
            <v>Xµ X2 - 4V</v>
          </cell>
          <cell r="C12" t="str">
            <v>Bé</v>
          </cell>
          <cell r="D12">
            <v>16</v>
          </cell>
          <cell r="E12">
            <v>98600</v>
          </cell>
        </row>
        <row r="13">
          <cell r="B13" t="str">
            <v>Xµ X3 - 4V</v>
          </cell>
          <cell r="C13" t="str">
            <v>Bé</v>
          </cell>
          <cell r="D13">
            <v>12</v>
          </cell>
          <cell r="E13">
            <v>113900</v>
          </cell>
        </row>
        <row r="14">
          <cell r="B14" t="str">
            <v>Xµ X4 - 4V</v>
          </cell>
          <cell r="C14" t="str">
            <v>Bé</v>
          </cell>
          <cell r="D14">
            <v>28</v>
          </cell>
          <cell r="E14">
            <v>98600</v>
          </cell>
        </row>
        <row r="15">
          <cell r="B15" t="str">
            <v>Xµ XL1 - 4V</v>
          </cell>
          <cell r="C15" t="str">
            <v>Bé</v>
          </cell>
          <cell r="D15">
            <v>1</v>
          </cell>
          <cell r="E15">
            <v>314500</v>
          </cell>
        </row>
        <row r="16">
          <cell r="B16" t="str">
            <v>Xµ XL3 - 4V</v>
          </cell>
          <cell r="C16" t="str">
            <v>Bé</v>
          </cell>
          <cell r="D16">
            <v>1</v>
          </cell>
          <cell r="E16">
            <v>649400</v>
          </cell>
        </row>
        <row r="17">
          <cell r="B17" t="str">
            <v>Xµ X2 - 2V</v>
          </cell>
          <cell r="C17" t="str">
            <v>Bé</v>
          </cell>
          <cell r="D17">
            <v>6</v>
          </cell>
          <cell r="E17">
            <v>51000</v>
          </cell>
        </row>
        <row r="18">
          <cell r="B18" t="str">
            <v>phÇn d©y sø phô kiÖn</v>
          </cell>
        </row>
        <row r="19">
          <cell r="B19" t="str">
            <v>D©y dÉn AP -  25</v>
          </cell>
          <cell r="C19" t="str">
            <v>km</v>
          </cell>
          <cell r="D19">
            <v>0</v>
          </cell>
          <cell r="E19">
            <v>3862500</v>
          </cell>
        </row>
        <row r="20">
          <cell r="B20" t="str">
            <v>D©y dÉn AP -  35</v>
          </cell>
          <cell r="C20" t="str">
            <v>km</v>
          </cell>
          <cell r="D20">
            <v>2.76</v>
          </cell>
          <cell r="E20">
            <v>5263918</v>
          </cell>
        </row>
        <row r="21">
          <cell r="B21" t="str">
            <v>KÐo d©y AP - 50</v>
          </cell>
          <cell r="C21" t="str">
            <v>km</v>
          </cell>
          <cell r="D21">
            <v>1.77</v>
          </cell>
          <cell r="E21">
            <v>6980413</v>
          </cell>
        </row>
        <row r="22">
          <cell r="B22" t="str">
            <v>KÐo d©y AP - 70</v>
          </cell>
          <cell r="C22" t="str">
            <v>km</v>
          </cell>
          <cell r="D22">
            <v>0.73499999999999999</v>
          </cell>
          <cell r="E22">
            <v>10236655</v>
          </cell>
        </row>
        <row r="23">
          <cell r="B23" t="str">
            <v>KÐo d©y AP - 95</v>
          </cell>
          <cell r="C23" t="str">
            <v>km</v>
          </cell>
          <cell r="D23">
            <v>0.90600000000000003</v>
          </cell>
          <cell r="E23">
            <v>11729382.5</v>
          </cell>
        </row>
        <row r="24">
          <cell r="B24" t="str">
            <v>KÐo d©y AP - 120</v>
          </cell>
          <cell r="C24" t="str">
            <v>km</v>
          </cell>
          <cell r="D24">
            <v>1.0649999999999999</v>
          </cell>
          <cell r="E24">
            <v>13861997.5</v>
          </cell>
        </row>
        <row r="25">
          <cell r="B25" t="str">
            <v>D©y dÉn A -  35</v>
          </cell>
          <cell r="C25" t="str">
            <v>km</v>
          </cell>
          <cell r="D25">
            <v>1.51</v>
          </cell>
          <cell r="E25">
            <v>2837356.45</v>
          </cell>
        </row>
        <row r="26">
          <cell r="B26" t="str">
            <v>KÐo d©y A -  50</v>
          </cell>
          <cell r="C26" t="str">
            <v>km</v>
          </cell>
          <cell r="D26">
            <v>0.245</v>
          </cell>
          <cell r="E26">
            <v>4046350.88</v>
          </cell>
        </row>
        <row r="27">
          <cell r="B27" t="str">
            <v>KÐo d©y A -  70</v>
          </cell>
          <cell r="C27" t="str">
            <v>km</v>
          </cell>
          <cell r="D27">
            <v>0.30199999999999999</v>
          </cell>
          <cell r="E27">
            <v>5660709.0199999996</v>
          </cell>
        </row>
        <row r="28">
          <cell r="B28" t="str">
            <v>KÐo d©y A -  95</v>
          </cell>
          <cell r="C28" t="str">
            <v>km</v>
          </cell>
          <cell r="D28">
            <v>0.35499999999999998</v>
          </cell>
          <cell r="E28">
            <v>7587647.4400000004</v>
          </cell>
        </row>
        <row r="29">
          <cell r="B29" t="str">
            <v>Sø A - 30</v>
          </cell>
          <cell r="C29" t="str">
            <v>Qu¶</v>
          </cell>
          <cell r="D29">
            <v>532</v>
          </cell>
          <cell r="E29">
            <v>6000</v>
          </cell>
        </row>
        <row r="30">
          <cell r="B30" t="str">
            <v>Sø A - 20</v>
          </cell>
          <cell r="C30" t="str">
            <v>Qu¶</v>
          </cell>
          <cell r="D30">
            <v>52</v>
          </cell>
          <cell r="E30">
            <v>4500</v>
          </cell>
        </row>
        <row r="31">
          <cell r="B31" t="str">
            <v>èng nhùa luån d©y tiÕp ®Þa</v>
          </cell>
          <cell r="C31" t="str">
            <v>m</v>
          </cell>
          <cell r="D31">
            <v>39</v>
          </cell>
          <cell r="E31">
            <v>3000</v>
          </cell>
        </row>
        <row r="32">
          <cell r="B32" t="str">
            <v>KÐo d©y v­ît ®­êng d©y th«n</v>
          </cell>
          <cell r="C32" t="str">
            <v>v/t</v>
          </cell>
          <cell r="D32">
            <v>0</v>
          </cell>
          <cell r="E32">
            <v>51800</v>
          </cell>
        </row>
        <row r="33">
          <cell r="B33" t="str">
            <v>KÐo d©y v­ît s«ng</v>
          </cell>
          <cell r="C33" t="str">
            <v>v/t</v>
          </cell>
          <cell r="D33">
            <v>0</v>
          </cell>
          <cell r="E33">
            <v>0</v>
          </cell>
        </row>
        <row r="34">
          <cell r="B34" t="str">
            <v>KÐo d©y vÞ trÝ gãc</v>
          </cell>
          <cell r="C34" t="str">
            <v>v/t</v>
          </cell>
          <cell r="D34">
            <v>27</v>
          </cell>
          <cell r="E34">
            <v>0</v>
          </cell>
        </row>
        <row r="35">
          <cell r="B35" t="str">
            <v>KÐo d©y v­ît ®­êng</v>
          </cell>
          <cell r="C35" t="str">
            <v>v/t</v>
          </cell>
          <cell r="D35">
            <v>21</v>
          </cell>
          <cell r="E35">
            <v>66500</v>
          </cell>
        </row>
        <row r="36">
          <cell r="B36" t="str">
            <v>D©y nh«m buéc cæ sø</v>
          </cell>
          <cell r="C36" t="str">
            <v>kg</v>
          </cell>
          <cell r="D36">
            <v>6</v>
          </cell>
          <cell r="E36">
            <v>25000</v>
          </cell>
        </row>
        <row r="37">
          <cell r="B37" t="str">
            <v>KÑp c¸p nh«m c¸c lo¹i</v>
          </cell>
          <cell r="C37" t="str">
            <v>c¸i</v>
          </cell>
          <cell r="D37">
            <v>410</v>
          </cell>
          <cell r="E37">
            <v>10000</v>
          </cell>
        </row>
        <row r="38">
          <cell r="B38" t="str">
            <v>GhÝp ®ång nh«m c¸c lo¹i</v>
          </cell>
          <cell r="C38" t="str">
            <v>c¸i</v>
          </cell>
          <cell r="D38">
            <v>14</v>
          </cell>
          <cell r="E38">
            <v>16000</v>
          </cell>
        </row>
        <row r="40">
          <cell r="B40" t="str">
            <v>III. PhÇn c«ng t¬</v>
          </cell>
        </row>
        <row r="41">
          <cell r="B41" t="str">
            <v>C«ng t¬ 1 pha 3- 9A</v>
          </cell>
          <cell r="C41" t="str">
            <v>C¸i</v>
          </cell>
          <cell r="D41">
            <v>327</v>
          </cell>
          <cell r="E41">
            <v>97000</v>
          </cell>
        </row>
        <row r="42">
          <cell r="B42" t="str">
            <v>C¸p Mylle 2 x 16</v>
          </cell>
          <cell r="C42" t="str">
            <v>m</v>
          </cell>
          <cell r="D42">
            <v>375</v>
          </cell>
          <cell r="E42">
            <v>21400</v>
          </cell>
        </row>
        <row r="43">
          <cell r="B43" t="str">
            <v>C¸p Mylle 2 x 11</v>
          </cell>
          <cell r="C43" t="str">
            <v>m</v>
          </cell>
          <cell r="D43">
            <v>120</v>
          </cell>
          <cell r="E43">
            <v>14600</v>
          </cell>
        </row>
        <row r="44">
          <cell r="B44" t="str">
            <v>C¸p Mylle 2 x 7</v>
          </cell>
          <cell r="C44" t="str">
            <v>m</v>
          </cell>
          <cell r="D44">
            <v>15</v>
          </cell>
          <cell r="E44">
            <v>9890</v>
          </cell>
        </row>
        <row r="45">
          <cell r="B45" t="str">
            <v>C¸p PVC 2 x 4</v>
          </cell>
          <cell r="C45" t="str">
            <v>m</v>
          </cell>
          <cell r="D45">
            <v>8175</v>
          </cell>
          <cell r="E45">
            <v>4600</v>
          </cell>
        </row>
        <row r="46">
          <cell r="B46" t="str">
            <v>C«ng t¬ 1 pha 3- 9A</v>
          </cell>
          <cell r="C46" t="str">
            <v>c¸i</v>
          </cell>
          <cell r="D46">
            <v>327</v>
          </cell>
          <cell r="E46">
            <v>0</v>
          </cell>
        </row>
        <row r="47">
          <cell r="B47" t="str">
            <v>Hßm 2 c«ng t¬ Compuzit</v>
          </cell>
          <cell r="C47" t="str">
            <v>c¸i</v>
          </cell>
          <cell r="D47">
            <v>24</v>
          </cell>
          <cell r="E47">
            <v>285000</v>
          </cell>
        </row>
        <row r="48">
          <cell r="B48" t="str">
            <v>Hßm 4 c«ng t¬ Compuzit</v>
          </cell>
          <cell r="C48" t="str">
            <v>c¸i</v>
          </cell>
          <cell r="D48">
            <v>75</v>
          </cell>
          <cell r="E48">
            <v>405000</v>
          </cell>
        </row>
        <row r="49">
          <cell r="B49" t="str">
            <v>B¨ng dÝnh</v>
          </cell>
          <cell r="C49" t="str">
            <v>cuén</v>
          </cell>
          <cell r="D49">
            <v>30</v>
          </cell>
          <cell r="E49">
            <v>2500</v>
          </cell>
        </row>
        <row r="50">
          <cell r="B50" t="str">
            <v>CÇu dao 15 A</v>
          </cell>
          <cell r="C50" t="str">
            <v>c¸I</v>
          </cell>
          <cell r="D50">
            <v>327</v>
          </cell>
          <cell r="E50">
            <v>15000</v>
          </cell>
        </row>
        <row r="51">
          <cell r="B51" t="str">
            <v>D©y thÐp v¨ng f=3</v>
          </cell>
          <cell r="C51" t="str">
            <v>m</v>
          </cell>
          <cell r="D51">
            <v>6540</v>
          </cell>
          <cell r="E51">
            <v>800</v>
          </cell>
        </row>
        <row r="52">
          <cell r="B52" t="str">
            <v>T¨ng ®¬ nÐo d©y</v>
          </cell>
          <cell r="C52" t="str">
            <v>c¸i</v>
          </cell>
          <cell r="D52">
            <v>0</v>
          </cell>
          <cell r="E52">
            <v>10000</v>
          </cell>
        </row>
        <row r="53">
          <cell r="B53" t="str">
            <v>D©y thÐp buéc f =1</v>
          </cell>
          <cell r="C53" t="str">
            <v>kg</v>
          </cell>
          <cell r="D53">
            <v>5</v>
          </cell>
          <cell r="E53">
            <v>7000</v>
          </cell>
        </row>
        <row r="54">
          <cell r="B54" t="str">
            <v>Hßm 1 c«ng t¬ Compuzit</v>
          </cell>
          <cell r="C54" t="str">
            <v>c¸i</v>
          </cell>
          <cell r="D54">
            <v>3</v>
          </cell>
          <cell r="E54">
            <v>128040</v>
          </cell>
        </row>
        <row r="55">
          <cell r="B55" t="str">
            <v>D©y 1 x 4</v>
          </cell>
          <cell r="C55" t="str">
            <v>m</v>
          </cell>
          <cell r="D55">
            <v>654</v>
          </cell>
          <cell r="E55">
            <v>2000</v>
          </cell>
        </row>
        <row r="56">
          <cell r="B56" t="str">
            <v>Xµ ®ì hßm c«ng t¬</v>
          </cell>
          <cell r="C56" t="str">
            <v>bé</v>
          </cell>
          <cell r="D56">
            <v>102</v>
          </cell>
          <cell r="E56">
            <v>53550</v>
          </cell>
        </row>
        <row r="57">
          <cell r="B57" t="str">
            <v>Sø ®ì d©y ra sau c«ng t¬</v>
          </cell>
          <cell r="C57" t="str">
            <v>bé</v>
          </cell>
          <cell r="D57">
            <v>327</v>
          </cell>
          <cell r="E57">
            <v>2000</v>
          </cell>
        </row>
        <row r="58">
          <cell r="B58" t="str">
            <v>GhÝp ®ång nh«m</v>
          </cell>
          <cell r="C58" t="str">
            <v>c¸i</v>
          </cell>
          <cell r="D58">
            <v>172</v>
          </cell>
          <cell r="E58">
            <v>12000</v>
          </cell>
        </row>
        <row r="59">
          <cell r="B59" t="str">
            <v>Xµ ®ì d©y ra sau c«ng t¬</v>
          </cell>
          <cell r="C59" t="str">
            <v>c¸i</v>
          </cell>
          <cell r="D59">
            <v>102</v>
          </cell>
          <cell r="E59">
            <v>33660</v>
          </cell>
        </row>
        <row r="60">
          <cell r="B60" t="str">
            <v>§inh vÝt 30 x30</v>
          </cell>
          <cell r="C60" t="str">
            <v>c¸i</v>
          </cell>
          <cell r="D60">
            <v>1320</v>
          </cell>
          <cell r="E60">
            <v>100</v>
          </cell>
        </row>
        <row r="61">
          <cell r="B61" t="str">
            <v>Kho¸ bi</v>
          </cell>
          <cell r="C61" t="str">
            <v>c¸i</v>
          </cell>
          <cell r="D61">
            <v>102</v>
          </cell>
          <cell r="E61">
            <v>12000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hi tiet TBA"/>
      <sheetName val="SL CAN THIET"/>
      <sheetName val="chi tiet dz 22kv"/>
      <sheetName val="PHAN DAY DAN CACH DIEN DZ 22 KV"/>
      <sheetName val="Tong hop DZ 22"/>
      <sheetName val="tieuhaoVT DZ 22"/>
      <sheetName val="vc vat tu CHUNG"/>
      <sheetName val="DG VC VT 36"/>
      <sheetName val="VCDD DZ 22"/>
      <sheetName val="trungchuyen DZ 22"/>
      <sheetName val="Btchlech DZ 22"/>
      <sheetName val="Don gia trung chuyen DZ 22"/>
      <sheetName val="dinh muc C DZ 3285"/>
      <sheetName val="TT DM C DZ 3285"/>
      <sheetName val="GTVC 1M3 BT"/>
      <sheetName val="DGCLVC3285"/>
      <sheetName val="T T CL VC"/>
      <sheetName val="chitietdatdao"/>
      <sheetName val="cap dat dao"/>
      <sheetName val="DG vat tu"/>
      <sheetName val="TH .Thi nghiem"/>
      <sheetName val="THI NGHIEM"/>
      <sheetName val="khobai"/>
      <sheetName val="THkhobai"/>
      <sheetName val="dcbmtc"/>
      <sheetName val="tobia22KV"/>
      <sheetName val="Ksp"/>
      <sheetName val="cpdb"/>
      <sheetName val="th dz&amp;tba"/>
      <sheetName val="Thdb+cdxd"/>
      <sheetName val="CHITIET 0.4 KV"/>
      <sheetName val="PHAN DAY DAN CACH DIEN DZ 0.4 K"/>
      <sheetName val=" tong hop rieng o.4 KV"/>
      <sheetName val="tong hop chung 0.4 KV"/>
      <sheetName val="TIEUHAOVT0.4KV"/>
      <sheetName val="VCDD DZ 0.4 KV"/>
      <sheetName val="TRUNG CHUYEN DZ 0.4"/>
      <sheetName val="DON GIA TRUNG CHUYEN DZ 0.4"/>
      <sheetName val="Chenh lech 0.4 KV"/>
      <sheetName val="TH thi nghiem 0.4 kV"/>
      <sheetName val="THI NGHIEM DZ 0.4 KV"/>
      <sheetName val="to bia 0.4 KV"/>
      <sheetName val="TT DM C 3283"/>
      <sheetName val="TT DM C 3282"/>
      <sheetName val="TONG KE TBA "/>
      <sheetName val="XL4Poppy"/>
      <sheetName val="chi tiet C"/>
      <sheetName val="M 67"/>
      <sheetName val="TK-TUBU"/>
      <sheetName val="chi_tiet_TBA"/>
      <sheetName val="SL_CAN_THIET"/>
      <sheetName val="chi_tiet_dz_22kv"/>
      <sheetName val="PHAN_DAY_DAN_CACH_DIEN_DZ_22_KV"/>
      <sheetName val="Tong_hop_DZ_22"/>
      <sheetName val="tieuhaoVT_DZ_22"/>
      <sheetName val="vc_vat_tu_CHUNG"/>
      <sheetName val="DG_VC_VT_36"/>
      <sheetName val="VCDD_DZ_22"/>
      <sheetName val="trungchuyen_DZ_22"/>
      <sheetName val="Btchlech_DZ_22"/>
      <sheetName val="Don_gia_trung_chuyen_DZ_22"/>
      <sheetName val="dinh_muc_C_DZ_3285"/>
      <sheetName val="TT_DM_C_DZ_3285"/>
      <sheetName val="GTVC_1M3_BT"/>
      <sheetName val="T_T_CL_VC"/>
      <sheetName val="cap_dat_dao"/>
      <sheetName val="DG_vat_tu"/>
      <sheetName val="TH__Thi_nghiem"/>
      <sheetName val="THI_NGHIEM"/>
      <sheetName val="th_dz&amp;tba"/>
      <sheetName val="CHITIET_0_4_KV"/>
      <sheetName val="PHAN_DAY_DAN_CACH_DIEN_DZ_0_4_K"/>
      <sheetName val="_tong_hop_rieng_o_4_KV"/>
      <sheetName val="tong_hop_chung_0_4_KV"/>
      <sheetName val="TIEUHAOVT0_4KV"/>
      <sheetName val="VCDD_DZ_0_4_KV"/>
      <sheetName val="TRUNG_CHUYEN_DZ_0_4"/>
      <sheetName val="DON_GIA_TRUNG_CHUYEN_DZ_0_4"/>
      <sheetName val="Chenh_lech_0_4_KV"/>
      <sheetName val="TH_thi_nghiem_0_4_kV"/>
      <sheetName val="THI_NGHIEM_DZ_0_4_KV"/>
      <sheetName val="to_bia_0_4_KV"/>
      <sheetName val="TT_DM_C_3283"/>
      <sheetName val="TT_DM_C_3282"/>
      <sheetName val="TONG_KE_TBA_"/>
      <sheetName val="chi_tiet_C"/>
      <sheetName val="M_67"/>
      <sheetName val="chi_tiet_TBA1"/>
      <sheetName val="SL_CAN_THIET1"/>
      <sheetName val="chi_tiet_dz_22kv1"/>
      <sheetName val="PHAN_DAY_DAN_CACH_DIEN_DZ_22_K1"/>
      <sheetName val="Tong_hop_DZ_221"/>
      <sheetName val="tieuhaoVT_DZ_221"/>
      <sheetName val="vc_vat_tu_CHUNG1"/>
      <sheetName val="DG_VC_VT_361"/>
      <sheetName val="VCDD_DZ_221"/>
      <sheetName val="trungchuyen_DZ_221"/>
      <sheetName val="Btchlech_DZ_221"/>
      <sheetName val="Don_gia_trung_chuyen_DZ_221"/>
      <sheetName val="dinh_muc_C_DZ_32851"/>
      <sheetName val="TT_DM_C_DZ_32851"/>
      <sheetName val="GTVC_1M3_BT1"/>
      <sheetName val="T_T_CL_VC1"/>
      <sheetName val="cap_dat_dao1"/>
      <sheetName val="DG_vat_tu1"/>
      <sheetName val="TH__Thi_nghiem1"/>
      <sheetName val="THI_NGHIEM1"/>
      <sheetName val="th_dz&amp;tba1"/>
      <sheetName val="CHITIET_0_4_KV1"/>
      <sheetName val="PHAN_DAY_DAN_CACH_DIEN_DZ_0_4_1"/>
      <sheetName val="_tong_hop_rieng_o_4_KV1"/>
      <sheetName val="tong_hop_chung_0_4_KV1"/>
      <sheetName val="TIEUHAOVT0_4KV1"/>
      <sheetName val="VCDD_DZ_0_4_KV1"/>
      <sheetName val="TRUNG_CHUYEN_DZ_0_41"/>
      <sheetName val="DON_GIA_TRUNG_CHUYEN_DZ_0_41"/>
      <sheetName val="Chenh_lech_0_4_KV1"/>
      <sheetName val="TH_thi_nghiem_0_4_kV1"/>
      <sheetName val="THI_NGHIEM_DZ_0_4_KV1"/>
      <sheetName val="to_bia_0_4_KV1"/>
      <sheetName val="TT_DM_C_32831"/>
      <sheetName val="TT_DM_C_32821"/>
      <sheetName val="TONG_KE_TBA_1"/>
      <sheetName val="chi_tiet_C1"/>
      <sheetName val="M_671"/>
      <sheetName val="chi_tiet_TBA2"/>
      <sheetName val="SL_CAN_THIET2"/>
      <sheetName val="chi_tiet_dz_22kv2"/>
      <sheetName val="PHAN_DAY_DAN_CACH_DIEN_DZ_22_K2"/>
      <sheetName val="Tong_hop_DZ_222"/>
      <sheetName val="tieuhaoVT_DZ_222"/>
      <sheetName val="vc_vat_tu_CHUNG2"/>
      <sheetName val="DG_VC_VT_362"/>
      <sheetName val="VCDD_DZ_222"/>
      <sheetName val="trungchuyen_DZ_222"/>
      <sheetName val="Btchlech_DZ_222"/>
      <sheetName val="Don_gia_trung_chuyen_DZ_222"/>
      <sheetName val="dinh_muc_C_DZ_32852"/>
      <sheetName val="TT_DM_C_DZ_32852"/>
      <sheetName val="GTVC_1M3_BT2"/>
      <sheetName val="T_T_CL_VC2"/>
      <sheetName val="cap_dat_dao2"/>
      <sheetName val="DG_vat_tu2"/>
      <sheetName val="TH__Thi_nghiem2"/>
      <sheetName val="THI_NGHIEM2"/>
      <sheetName val="th_dz&amp;tba2"/>
      <sheetName val="CHITIET_0_4_KV2"/>
      <sheetName val="PHAN_DAY_DAN_CACH_DIEN_DZ_0_4_2"/>
      <sheetName val="_tong_hop_rieng_o_4_KV2"/>
      <sheetName val="tong_hop_chung_0_4_KV2"/>
      <sheetName val="TIEUHAOVT0_4KV2"/>
      <sheetName val="VCDD_DZ_0_4_KV2"/>
      <sheetName val="TRUNG_CHUYEN_DZ_0_42"/>
      <sheetName val="DON_GIA_TRUNG_CHUYEN_DZ_0_42"/>
      <sheetName val="Chenh_lech_0_4_KV2"/>
      <sheetName val="TH_thi_nghiem_0_4_kV2"/>
      <sheetName val="THI_NGHIEM_DZ_0_4_KV2"/>
      <sheetName val="to_bia_0_4_KV2"/>
      <sheetName val="TT_DM_C_32832"/>
      <sheetName val="TT_DM_C_32822"/>
      <sheetName val="TONG_KE_TBA_2"/>
      <sheetName val="chi_tiet_C2"/>
      <sheetName val="M_672"/>
      <sheetName val="chi_tiet_TBA3"/>
      <sheetName val="SL_CAN_THIET3"/>
      <sheetName val="chi_tiet_dz_22kv3"/>
      <sheetName val="PHAN_DAY_DAN_CACH_DIEN_DZ_22_K3"/>
      <sheetName val="Tong_hop_DZ_223"/>
      <sheetName val="tieuhaoVT_DZ_223"/>
      <sheetName val="vc_vat_tu_CHUNG3"/>
      <sheetName val="DG_VC_VT_363"/>
      <sheetName val="VCDD_DZ_223"/>
      <sheetName val="trungchuyen_DZ_223"/>
      <sheetName val="Btchlech_DZ_223"/>
      <sheetName val="Don_gia_trung_chuyen_DZ_223"/>
      <sheetName val="dinh_muc_C_DZ_32853"/>
      <sheetName val="TT_DM_C_DZ_32853"/>
      <sheetName val="GTVC_1M3_BT3"/>
      <sheetName val="T_T_CL_VC3"/>
      <sheetName val="cap_dat_dao3"/>
      <sheetName val="DG_vat_tu3"/>
      <sheetName val="TH__Thi_nghiem3"/>
      <sheetName val="THI_NGHIEM3"/>
      <sheetName val="th_dz&amp;tba3"/>
      <sheetName val="CHITIET_0_4_KV3"/>
      <sheetName val="PHAN_DAY_DAN_CACH_DIEN_DZ_0_4_3"/>
      <sheetName val="_tong_hop_rieng_o_4_KV3"/>
      <sheetName val="tong_hop_chung_0_4_KV3"/>
      <sheetName val="TIEUHAOVT0_4KV3"/>
      <sheetName val="VCDD_DZ_0_4_KV3"/>
      <sheetName val="TRUNG_CHUYEN_DZ_0_43"/>
      <sheetName val="DON_GIA_TRUNG_CHUYEN_DZ_0_43"/>
      <sheetName val="Chenh_lech_0_4_KV3"/>
      <sheetName val="TH_thi_nghiem_0_4_kV3"/>
      <sheetName val="THI_NGHIEM_DZ_0_4_KV3"/>
      <sheetName val="to_bia_0_4_KV3"/>
      <sheetName val="TT_DM_C_32833"/>
      <sheetName val="TT_DM_C_32823"/>
      <sheetName val="TONG_KE_TBA_3"/>
      <sheetName val="chi_tiet_C3"/>
      <sheetName val="M_673"/>
      <sheetName val="VCDD \Z &gt;2"/>
      <sheetName val="THI ÎFxIEM"/>
      <sheetName val="CHILIET 0.4 KV"/>
      <sheetName val="PHAN Ä@Y DAN CACH \IEN ÄW 0.4 K"/>
      <sheetName val="VCDD ÄÛ!0.4 KV"/>
      <sheetName val="TRUNG CHUYEN Ä[ 0.4"/>
      <sheetName val="DON GIA TRUNG CHUYEN Ä[ 0.4"/>
      <sheetName val="VCDD _Z &gt;2"/>
      <sheetName val="PHAN Ä@Y DAN CACH _IEN ÄW 0.4 K"/>
      <sheetName val="TRUNG CHUYEN Ä_ 0.4"/>
      <sheetName val="DON GIA TRUNG CHUYEN Ä_ 0.4"/>
      <sheetName val="[Dt22kvd.xls]VCDD \Z &gt;2"/>
      <sheetName val="[Dt22kvd.xls]PHAN Ä@Y DAN CACH "/>
      <sheetName val="[Dt22kvd.xls][Dt22kvd.xls]VCDD "/>
      <sheetName val="chi_tiet_TBA4"/>
      <sheetName val="SL_CAN_THIET4"/>
      <sheetName val="chi_tiet_dz_22kv4"/>
      <sheetName val="PHAN_DAY_DAN_CACH_DIEN_DZ_22_K4"/>
      <sheetName val="Tong_hop_DZ_224"/>
      <sheetName val="tieuhaoVT_DZ_224"/>
      <sheetName val="vc_vat_tu_CHUNG4"/>
      <sheetName val="DG_VC_VT_364"/>
      <sheetName val="VCDD_DZ_224"/>
      <sheetName val="trungchuyen_DZ_224"/>
      <sheetName val="Btchlech_DZ_224"/>
      <sheetName val="Don_gia_trung_chuyen_DZ_224"/>
      <sheetName val="dinh_muc_C_DZ_32854"/>
      <sheetName val="TT_DM_C_DZ_32854"/>
      <sheetName val="GTVC_1M3_BT4"/>
      <sheetName val="T_T_CL_VC4"/>
      <sheetName val="cap_dat_dao4"/>
      <sheetName val="DG_vat_tu4"/>
      <sheetName val="TH__Thi_nghiem4"/>
      <sheetName val="THI_NGHIEM4"/>
      <sheetName val="th_dz&amp;tba4"/>
      <sheetName val="CHITIET_0_4_KV4"/>
      <sheetName val="PHAN_DAY_DAN_CACH_DIEN_DZ_0_4_4"/>
      <sheetName val="_tong_hop_rieng_o_4_KV4"/>
      <sheetName val="tong_hop_chung_0_4_KV4"/>
      <sheetName val="TIEUHAOVT0_4KV4"/>
      <sheetName val="VCDD_DZ_0_4_KV4"/>
      <sheetName val="TRUNG_CHUYEN_DZ_0_44"/>
      <sheetName val="DON_GIA_TRUNG_CHUYEN_DZ_0_44"/>
      <sheetName val="Chenh_lech_0_4_KV4"/>
      <sheetName val="TH_thi_nghiem_0_4_kV4"/>
      <sheetName val="THI_NGHIEM_DZ_0_4_KV4"/>
      <sheetName val="to_bia_0_4_KV4"/>
      <sheetName val="TT_DM_C_32834"/>
      <sheetName val="TT_DM_C_32824"/>
      <sheetName val="TONG_KE_TBA_4"/>
      <sheetName val="chi_tiet_TBA5"/>
      <sheetName val="SL_CAN_THIET5"/>
      <sheetName val="chi_tiet_dz_22kv5"/>
      <sheetName val="PHAN_DAY_DAN_CACH_DIEN_DZ_22_K5"/>
      <sheetName val="Tong_hop_DZ_225"/>
      <sheetName val="tieuhaoVT_DZ_225"/>
      <sheetName val="vc_vat_tu_CHUNG5"/>
      <sheetName val="DG_VC_VT_365"/>
      <sheetName val="VCDD_DZ_225"/>
      <sheetName val="trungchuyen_DZ_225"/>
      <sheetName val="Btchlech_DZ_225"/>
      <sheetName val="Don_gia_trung_chuyen_DZ_225"/>
      <sheetName val="dinh_muc_C_DZ_32855"/>
      <sheetName val="TT_DM_C_DZ_32855"/>
      <sheetName val="GTVC_1M3_BT5"/>
      <sheetName val="T_T_CL_VC5"/>
      <sheetName val="cap_dat_dao5"/>
      <sheetName val="DG_vat_tu5"/>
      <sheetName val="TH__Thi_nghiem5"/>
      <sheetName val="THI_NGHIEM5"/>
      <sheetName val="th_dz&amp;tba5"/>
      <sheetName val="CHITIET_0_4_KV5"/>
      <sheetName val="PHAN_DAY_DAN_CACH_DIEN_DZ_0_4_5"/>
      <sheetName val="_tong_hop_rieng_o_4_KV5"/>
      <sheetName val="tong_hop_chung_0_4_KV5"/>
      <sheetName val="TIEUHAOVT0_4KV5"/>
      <sheetName val="VCDD_DZ_0_4_KV5"/>
      <sheetName val="TRUNG_CHUYEN_DZ_0_45"/>
      <sheetName val="DON_GIA_TRUNG_CHUYEN_DZ_0_45"/>
      <sheetName val="Chenh_lech_0_4_KV5"/>
      <sheetName val="TH_thi_nghiem_0_4_kV5"/>
      <sheetName val="THI_NGHIEM_DZ_0_4_KV5"/>
      <sheetName val="to_bia_0_4_KV5"/>
      <sheetName val="TT_DM_C_32835"/>
      <sheetName val="TT_DM_C_32825"/>
      <sheetName val="TONG_KE_TBA_5"/>
      <sheetName val="chi_tiet_TBA6"/>
      <sheetName val="SL_CAN_THIET6"/>
      <sheetName val="chi_tiet_dz_22kv6"/>
      <sheetName val="PHAN_DAY_DAN_CACH_DIEN_DZ_22_K6"/>
      <sheetName val="Tong_hop_DZ_226"/>
      <sheetName val="tieuhaoVT_DZ_226"/>
      <sheetName val="vc_vat_tu_CHUNG6"/>
      <sheetName val="DG_VC_VT_366"/>
      <sheetName val="VCDD_DZ_226"/>
      <sheetName val="trungchuyen_DZ_226"/>
      <sheetName val="Btchlech_DZ_226"/>
      <sheetName val="Don_gia_trung_chuyen_DZ_226"/>
      <sheetName val="dinh_muc_C_DZ_32856"/>
      <sheetName val="TT_DM_C_DZ_32856"/>
      <sheetName val="GTVC_1M3_BT6"/>
      <sheetName val="T_T_CL_VC6"/>
      <sheetName val="cap_dat_dao6"/>
      <sheetName val="DG_vat_tu6"/>
      <sheetName val="TH__Thi_nghiem6"/>
      <sheetName val="THI_NGHIEM6"/>
      <sheetName val="th_dz&amp;tba6"/>
      <sheetName val="CHITIET_0_4_KV6"/>
      <sheetName val="PHAN_DAY_DAN_CACH_DIEN_DZ_0_4_6"/>
      <sheetName val="_tong_hop_rieng_o_4_KV6"/>
      <sheetName val="tong_hop_chung_0_4_KV6"/>
      <sheetName val="TIEUHAOVT0_4KV6"/>
      <sheetName val="VCDD_DZ_0_4_KV6"/>
      <sheetName val="TRUNG_CHUYEN_DZ_0_46"/>
      <sheetName val="DON_GIA_TRUNG_CHUYEN_DZ_0_46"/>
      <sheetName val="Chenh_lech_0_4_KV6"/>
      <sheetName val="TH_thi_nghiem_0_4_kV6"/>
      <sheetName val="THI_NGHIEM_DZ_0_4_KV6"/>
      <sheetName val="to_bia_0_4_KV6"/>
      <sheetName val="TT_DM_C_32836"/>
      <sheetName val="TT_DM_C_32826"/>
      <sheetName val="TONG_KE_TBA_6"/>
      <sheetName val="chi_tiet_TBA7"/>
      <sheetName val="SL_CAN_THIET7"/>
      <sheetName val="chi_tiet_dz_22kv7"/>
      <sheetName val="PHAN_DAY_DAN_CACH_DIEN_DZ_22_K7"/>
      <sheetName val="Tong_hop_DZ_227"/>
      <sheetName val="tieuhaoVT_DZ_227"/>
      <sheetName val="vc_vat_tu_CHUNG7"/>
      <sheetName val="DG_VC_VT_367"/>
      <sheetName val="VCDD_DZ_227"/>
      <sheetName val="trungchuyen_DZ_227"/>
      <sheetName val="Btchlech_DZ_227"/>
      <sheetName val="Don_gia_trung_chuyen_DZ_227"/>
      <sheetName val="dinh_muc_C_DZ_32857"/>
      <sheetName val="TT_DM_C_DZ_32857"/>
      <sheetName val="GTVC_1M3_BT7"/>
      <sheetName val="T_T_CL_VC7"/>
      <sheetName val="cap_dat_dao7"/>
      <sheetName val="DG_vat_tu7"/>
      <sheetName val="TH__Thi_nghiem7"/>
      <sheetName val="THI_NGHIEM7"/>
      <sheetName val="th_dz&amp;tba7"/>
      <sheetName val="CHITIET_0_4_KV7"/>
      <sheetName val="PHAN_DAY_DAN_CACH_DIEN_DZ_0_4_7"/>
      <sheetName val="_tong_hop_rieng_o_4_KV7"/>
      <sheetName val="tong_hop_chung_0_4_KV7"/>
      <sheetName val="TIEUHAOVT0_4KV7"/>
      <sheetName val="VCDD_DZ_0_4_KV7"/>
      <sheetName val="TRUNG_CHUYEN_DZ_0_47"/>
      <sheetName val="DON_GIA_TRUNG_CHUYEN_DZ_0_47"/>
      <sheetName val="Chenh_lech_0_4_KV7"/>
      <sheetName val="TH_thi_nghiem_0_4_kV7"/>
      <sheetName val="THI_NGHIEM_DZ_0_4_KV7"/>
      <sheetName val="to_bia_0_4_KV7"/>
      <sheetName val="TT_DM_C_32837"/>
      <sheetName val="TT_DM_C_32827"/>
      <sheetName val="TONG_KE_TBA_7"/>
      <sheetName val="chi_tiet_TBA8"/>
      <sheetName val="SL_CAN_THIET8"/>
      <sheetName val="chi_tiet_dz_22kv8"/>
      <sheetName val="PHAN_DAY_DAN_CACH_DIEN_DZ_22_K8"/>
      <sheetName val="Tong_hop_DZ_228"/>
      <sheetName val="tieuhaoVT_DZ_228"/>
      <sheetName val="vc_vat_tu_CHUNG8"/>
      <sheetName val="DG_VC_VT_368"/>
      <sheetName val="VCDD_DZ_228"/>
      <sheetName val="trungchuyen_DZ_228"/>
      <sheetName val="Btchlech_DZ_228"/>
      <sheetName val="Don_gia_trung_chuyen_DZ_228"/>
      <sheetName val="dinh_muc_C_DZ_32858"/>
      <sheetName val="TT_DM_C_DZ_32858"/>
      <sheetName val="GTVC_1M3_BT8"/>
      <sheetName val="T_T_CL_VC8"/>
      <sheetName val="cap_dat_dao8"/>
      <sheetName val="DG_vat_tu8"/>
      <sheetName val="TH__Thi_nghiem8"/>
      <sheetName val="THI_NGHIEM8"/>
      <sheetName val="th_dz&amp;tba8"/>
      <sheetName val="CHITIET_0_4_KV8"/>
      <sheetName val="PHAN_DAY_DAN_CACH_DIEN_DZ_0_4_8"/>
      <sheetName val="_tong_hop_rieng_o_4_KV8"/>
      <sheetName val="tong_hop_chung_0_4_KV8"/>
      <sheetName val="TIEUHAOVT0_4KV8"/>
      <sheetName val="VCDD_DZ_0_4_KV8"/>
      <sheetName val="TRUNG_CHUYEN_DZ_0_48"/>
      <sheetName val="DON_GIA_TRUNG_CHUYEN_DZ_0_48"/>
      <sheetName val="Chenh_lech_0_4_KV8"/>
      <sheetName val="TH_thi_nghiem_0_4_kV8"/>
      <sheetName val="THI_NGHIEM_DZ_0_4_KV8"/>
      <sheetName val="to_bia_0_4_KV8"/>
      <sheetName val="TT_DM_C_32838"/>
      <sheetName val="TT_DM_C_32828"/>
      <sheetName val="TONG_KE_TBA_8"/>
      <sheetName val="_Dt22kvd.xls_VCDD _Z &gt;2"/>
      <sheetName val="_Dt22kvd.xls_PHAN Ä@Y DAN CACH "/>
      <sheetName val="_Dt22kvd.xls__Dt22kvd.xls_VCDD "/>
    </sheetNames>
    <sheetDataSet>
      <sheetData sheetId="0" refreshError="1">
        <row r="1">
          <cell r="A1" t="str">
            <v>BAÍNG DÆÛ TOAÏN CHI TIÃÚT PHÁÖN LÀÕP ÂÀÛT ÂIÃÛN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sheetData sheetId="203"/>
      <sheetData sheetId="204"/>
      <sheetData sheetId="205"/>
      <sheetData sheetId="206"/>
      <sheetData sheetId="207"/>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Htb"/>
      <sheetName val="THTT"/>
      <sheetName val="THQT"/>
      <sheetName val="TH§Z6Kv"/>
      <sheetName val="VLNCZ6kV"/>
      <sheetName val="CTDZ 6kV"/>
      <sheetName val="THTBA"/>
      <sheetName val="VLNCTBA"/>
      <sheetName val="CTTBA"/>
      <sheetName val="THdz0,4"/>
      <sheetName val="Vlncdz0,4cto"/>
      <sheetName val="CTDZ 0.4+cto"/>
      <sheetName val="CTbe tong"/>
      <sheetName val="Trongluong"/>
      <sheetName val="vc"/>
      <sheetName val="TH§Z6Kv (gd1)"/>
      <sheetName val="VLNCZ6kV (gd1)"/>
      <sheetName val="CTDZ6kv (gd1) "/>
      <sheetName val="THtba(gd1)"/>
      <sheetName val="VLNCTBA (gd1)"/>
      <sheetName val="CTTBA (gd1)"/>
      <sheetName val="THdz0,4 (gd1)"/>
      <sheetName val="Vlncdz0,4cto (gd1)"/>
      <sheetName val="CTDZ 0.4+cto (GD1)"/>
      <sheetName val="Sheet1"/>
      <sheetName val="XXXXXXXX"/>
      <sheetName val="XXXXXXX0"/>
      <sheetName val="XL4Poppy"/>
      <sheetName val="CTDZ6kv _gd1_ "/>
      <sheetName val="CTTBA _gd1_"/>
      <sheetName val="CTDZ 0_4_cto _GD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C8" t="str">
            <v>Bª t«ng M50</v>
          </cell>
          <cell r="H8">
            <v>193264.77499999999</v>
          </cell>
          <cell r="I8">
            <v>14471.352900000002</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3">
          <cell r="C13" t="str">
            <v>b. Nh©n c«ng ( cù ly vËn chuyÓn 100m)</v>
          </cell>
        </row>
        <row r="14">
          <cell r="B14" t="str">
            <v>02-1211</v>
          </cell>
          <cell r="C14" t="str">
            <v>VËn chuyÓn xi m¨ng</v>
          </cell>
          <cell r="D14" t="str">
            <v>m3</v>
          </cell>
          <cell r="E14">
            <v>0.16800000000000001</v>
          </cell>
          <cell r="F14">
            <v>0.1</v>
          </cell>
          <cell r="G14">
            <v>74756</v>
          </cell>
          <cell r="I14">
            <v>1255.9008000000001</v>
          </cell>
        </row>
        <row r="15">
          <cell r="B15" t="str">
            <v>02-1231</v>
          </cell>
          <cell r="C15" t="str">
            <v>VËn chuyÓn c¸t vµng</v>
          </cell>
          <cell r="D15" t="str">
            <v>m3</v>
          </cell>
          <cell r="E15">
            <v>0.51200000000000001</v>
          </cell>
          <cell r="F15">
            <v>0.1</v>
          </cell>
          <cell r="G15">
            <v>69458</v>
          </cell>
          <cell r="I15">
            <v>3556.2496000000001</v>
          </cell>
        </row>
        <row r="16">
          <cell r="B16" t="str">
            <v>02-1241</v>
          </cell>
          <cell r="C16" t="str">
            <v>VËn chuyÓn ®¸ d¨m</v>
          </cell>
          <cell r="D16" t="str">
            <v>m3</v>
          </cell>
          <cell r="E16">
            <v>0.88900000000000001</v>
          </cell>
          <cell r="F16">
            <v>0.1</v>
          </cell>
          <cell r="G16">
            <v>73725</v>
          </cell>
          <cell r="I16">
            <v>6554.1525000000001</v>
          </cell>
        </row>
        <row r="17">
          <cell r="B17" t="str">
            <v>02-1321</v>
          </cell>
          <cell r="C17" t="str">
            <v>VËn chuyÓn n­íc</v>
          </cell>
          <cell r="D17" t="str">
            <v>m3</v>
          </cell>
          <cell r="E17">
            <v>0.5</v>
          </cell>
          <cell r="F17">
            <v>0.1</v>
          </cell>
          <cell r="G17">
            <v>62101</v>
          </cell>
          <cell r="I17">
            <v>3105.05</v>
          </cell>
        </row>
        <row r="19">
          <cell r="C19" t="str">
            <v>Bª t«ng M 150</v>
          </cell>
          <cell r="H19">
            <v>283488.34999999998</v>
          </cell>
          <cell r="I19">
            <v>14862.2945</v>
          </cell>
        </row>
        <row r="20">
          <cell r="C20" t="str">
            <v>a. VËt liÖu</v>
          </cell>
        </row>
        <row r="21">
          <cell r="B21" t="str">
            <v xml:space="preserve">§GtØnh </v>
          </cell>
          <cell r="C21" t="str">
            <v>Xi m¨ng PC30</v>
          </cell>
          <cell r="D21" t="str">
            <v>kg</v>
          </cell>
          <cell r="E21" t="str">
            <v>278</v>
          </cell>
          <cell r="F21">
            <v>1.0249999999999999</v>
          </cell>
          <cell r="G21">
            <v>643</v>
          </cell>
          <cell r="H21">
            <v>183222.85</v>
          </cell>
        </row>
        <row r="22">
          <cell r="B22" t="str">
            <v xml:space="preserve">§GtØnh </v>
          </cell>
          <cell r="C22" t="str">
            <v>C¸t vµng</v>
          </cell>
          <cell r="D22" t="str">
            <v>m3</v>
          </cell>
          <cell r="E22" t="str">
            <v>0,469</v>
          </cell>
          <cell r="F22">
            <v>1.0249999999999999</v>
          </cell>
          <cell r="G22">
            <v>34000</v>
          </cell>
          <cell r="H22">
            <v>16344.649999999996</v>
          </cell>
        </row>
        <row r="23">
          <cell r="B23" t="str">
            <v xml:space="preserve">§GtØnh </v>
          </cell>
          <cell r="C23" t="str">
            <v>§¸ d¨m 2 x 4</v>
          </cell>
          <cell r="D23" t="str">
            <v>m3</v>
          </cell>
          <cell r="E23" t="str">
            <v>0,871</v>
          </cell>
          <cell r="F23">
            <v>1.0249999999999999</v>
          </cell>
          <cell r="G23">
            <v>94000</v>
          </cell>
          <cell r="H23">
            <v>83920.849999999991</v>
          </cell>
        </row>
        <row r="24">
          <cell r="C24" t="str">
            <v>b. Nh©n c«ng ( cù ly vËn chuyÓn 100m)</v>
          </cell>
        </row>
        <row r="25">
          <cell r="B25" t="str">
            <v>02-1211</v>
          </cell>
          <cell r="C25" t="str">
            <v>VËn chuyÓn xi m¨ng</v>
          </cell>
          <cell r="D25" t="str">
            <v>m3</v>
          </cell>
          <cell r="E25">
            <v>0.27800000000000002</v>
          </cell>
          <cell r="F25">
            <v>0.1</v>
          </cell>
          <cell r="G25">
            <v>74756</v>
          </cell>
          <cell r="I25">
            <v>2078.2168000000001</v>
          </cell>
        </row>
        <row r="26">
          <cell r="B26" t="str">
            <v>02-1231</v>
          </cell>
          <cell r="C26" t="str">
            <v>VËn chuyÓn c¸t vµng</v>
          </cell>
          <cell r="D26" t="str">
            <v>m3</v>
          </cell>
          <cell r="E26" t="str">
            <v>0,469</v>
          </cell>
          <cell r="F26">
            <v>0.1</v>
          </cell>
          <cell r="G26">
            <v>69458</v>
          </cell>
          <cell r="I26">
            <v>3257.5801999999999</v>
          </cell>
        </row>
        <row r="27">
          <cell r="B27" t="str">
            <v>02-1241</v>
          </cell>
          <cell r="C27" t="str">
            <v>VËn chuyÓn ®¸ d¨m</v>
          </cell>
          <cell r="D27" t="str">
            <v>m3</v>
          </cell>
          <cell r="E27" t="str">
            <v>0,871</v>
          </cell>
          <cell r="F27">
            <v>0.1</v>
          </cell>
          <cell r="G27">
            <v>73725</v>
          </cell>
          <cell r="I27">
            <v>6421.4475000000002</v>
          </cell>
        </row>
        <row r="28">
          <cell r="B28" t="str">
            <v>02-1321</v>
          </cell>
          <cell r="C28" t="str">
            <v>VËn chuyÓn n­íc</v>
          </cell>
          <cell r="D28" t="str">
            <v>m3</v>
          </cell>
          <cell r="E28">
            <v>0.5</v>
          </cell>
          <cell r="F28">
            <v>0.1</v>
          </cell>
          <cell r="G28">
            <v>62101</v>
          </cell>
          <cell r="I28">
            <v>3105.05</v>
          </cell>
        </row>
        <row r="30">
          <cell r="C30" t="str">
            <v>Bª t«ng M 200</v>
          </cell>
          <cell r="H30">
            <v>331771.99999999994</v>
          </cell>
          <cell r="I30">
            <v>14978.229500000001</v>
          </cell>
        </row>
        <row r="31">
          <cell r="C31" t="str">
            <v>a. VËt liÖu</v>
          </cell>
        </row>
        <row r="32">
          <cell r="B32" t="str">
            <v xml:space="preserve">§GtØnh </v>
          </cell>
          <cell r="C32" t="str">
            <v>Xi m¨ng PC30</v>
          </cell>
          <cell r="D32" t="str">
            <v>kg</v>
          </cell>
          <cell r="E32" t="str">
            <v>357</v>
          </cell>
          <cell r="F32">
            <v>1.0249999999999999</v>
          </cell>
          <cell r="G32">
            <v>643</v>
          </cell>
          <cell r="H32">
            <v>235289.77499999997</v>
          </cell>
        </row>
        <row r="33">
          <cell r="B33" t="str">
            <v xml:space="preserve">§GtØnh </v>
          </cell>
          <cell r="C33" t="str">
            <v>C¸t vµng</v>
          </cell>
          <cell r="D33" t="str">
            <v>m3</v>
          </cell>
          <cell r="E33" t="str">
            <v>0,441</v>
          </cell>
          <cell r="F33">
            <v>1.0249999999999999</v>
          </cell>
          <cell r="G33">
            <v>34000</v>
          </cell>
          <cell r="H33">
            <v>15368.849999999999</v>
          </cell>
        </row>
        <row r="34">
          <cell r="B34" t="str">
            <v xml:space="preserve">§GtØnh </v>
          </cell>
          <cell r="C34" t="str">
            <v>§¸ d¨m 2 x 4</v>
          </cell>
          <cell r="D34" t="str">
            <v>m3</v>
          </cell>
          <cell r="E34" t="str">
            <v>0,833</v>
          </cell>
          <cell r="F34">
            <v>1.0249999999999999</v>
          </cell>
          <cell r="G34">
            <v>95000</v>
          </cell>
          <cell r="H34">
            <v>81113.374999999985</v>
          </cell>
        </row>
        <row r="35">
          <cell r="C35" t="str">
            <v>b. Nh©n c«ng ( cù ly vËn chuyÓn 100m)</v>
          </cell>
        </row>
        <row r="36">
          <cell r="B36" t="str">
            <v>02-1211</v>
          </cell>
          <cell r="C36" t="str">
            <v>VËn chuyÓn xi m¨ng</v>
          </cell>
          <cell r="D36" t="str">
            <v>m3</v>
          </cell>
          <cell r="E36">
            <v>0.35699999999999998</v>
          </cell>
          <cell r="F36">
            <v>0.1</v>
          </cell>
          <cell r="G36">
            <v>74756</v>
          </cell>
          <cell r="I36">
            <v>2668.7892000000002</v>
          </cell>
        </row>
        <row r="37">
          <cell r="B37" t="str">
            <v>02-1231</v>
          </cell>
          <cell r="C37" t="str">
            <v>VËn chuyÓn c¸t vµng</v>
          </cell>
          <cell r="D37" t="str">
            <v>m3</v>
          </cell>
          <cell r="E37" t="str">
            <v>0,441</v>
          </cell>
          <cell r="F37">
            <v>0.1</v>
          </cell>
          <cell r="G37">
            <v>69458</v>
          </cell>
          <cell r="I37">
            <v>3063.0978</v>
          </cell>
        </row>
        <row r="38">
          <cell r="B38" t="str">
            <v>02-1241</v>
          </cell>
          <cell r="C38" t="str">
            <v>VËn chuyÓn ®¸ d¨m</v>
          </cell>
          <cell r="D38" t="str">
            <v>m3</v>
          </cell>
          <cell r="E38" t="str">
            <v>0,833</v>
          </cell>
          <cell r="F38">
            <v>0.1</v>
          </cell>
          <cell r="G38">
            <v>73725</v>
          </cell>
          <cell r="I38">
            <v>6141.2924999999996</v>
          </cell>
        </row>
        <row r="39">
          <cell r="B39" t="str">
            <v>02-1321</v>
          </cell>
          <cell r="C39" t="str">
            <v>VËn chuyÓn n­íc</v>
          </cell>
          <cell r="D39" t="str">
            <v>m3</v>
          </cell>
          <cell r="E39">
            <v>0.5</v>
          </cell>
          <cell r="F39">
            <v>0.1</v>
          </cell>
          <cell r="G39">
            <v>62101</v>
          </cell>
          <cell r="I39">
            <v>3105.05</v>
          </cell>
        </row>
        <row r="41">
          <cell r="C41" t="str">
            <v>Bª t«ng M 200 ( §óc s½n)</v>
          </cell>
          <cell r="H41">
            <v>331771.99999999994</v>
          </cell>
          <cell r="I41">
            <v>53433.05</v>
          </cell>
        </row>
        <row r="42">
          <cell r="C42" t="str">
            <v>a. VËt liÖu</v>
          </cell>
        </row>
        <row r="43">
          <cell r="B43" t="str">
            <v xml:space="preserve">§GtØnh </v>
          </cell>
          <cell r="C43" t="str">
            <v>Xi m¨ng PC30</v>
          </cell>
          <cell r="D43" t="str">
            <v>kg</v>
          </cell>
          <cell r="E43" t="str">
            <v>357</v>
          </cell>
          <cell r="F43">
            <v>1.0249999999999999</v>
          </cell>
          <cell r="G43">
            <v>643</v>
          </cell>
          <cell r="H43">
            <v>235289.77499999997</v>
          </cell>
        </row>
        <row r="44">
          <cell r="B44" t="str">
            <v xml:space="preserve">§GtØnh </v>
          </cell>
          <cell r="C44" t="str">
            <v>C¸t vµng</v>
          </cell>
          <cell r="D44" t="str">
            <v>m3</v>
          </cell>
          <cell r="E44" t="str">
            <v>0,441</v>
          </cell>
          <cell r="F44">
            <v>1.0249999999999999</v>
          </cell>
          <cell r="G44">
            <v>34000</v>
          </cell>
          <cell r="H44">
            <v>15368.849999999999</v>
          </cell>
        </row>
        <row r="45">
          <cell r="B45" t="str">
            <v xml:space="preserve">§GtØnh </v>
          </cell>
          <cell r="C45" t="str">
            <v>§¸ d¨m 2 x 4</v>
          </cell>
          <cell r="D45" t="str">
            <v>m3</v>
          </cell>
          <cell r="E45" t="str">
            <v>0,833</v>
          </cell>
          <cell r="F45">
            <v>1.0249999999999999</v>
          </cell>
          <cell r="G45">
            <v>95000</v>
          </cell>
          <cell r="H45">
            <v>81113.374999999985</v>
          </cell>
        </row>
        <row r="46">
          <cell r="C46" t="str">
            <v>b. Nh©n c«ng ( cù ly vËn chuyÓn 100m)</v>
          </cell>
        </row>
        <row r="47">
          <cell r="B47" t="str">
            <v>02.3611</v>
          </cell>
          <cell r="C47" t="str">
            <v xml:space="preserve">§æ bª t«ng ®óc s½n </v>
          </cell>
          <cell r="D47" t="str">
            <v>m3</v>
          </cell>
          <cell r="E47" t="str">
            <v>1</v>
          </cell>
          <cell r="F47">
            <v>1</v>
          </cell>
          <cell r="G47">
            <v>50328</v>
          </cell>
          <cell r="I47">
            <v>50328</v>
          </cell>
        </row>
        <row r="48">
          <cell r="B48" t="str">
            <v>02-1321</v>
          </cell>
          <cell r="C48" t="str">
            <v>VËn chuyÓn n­íc</v>
          </cell>
          <cell r="D48" t="str">
            <v>m3</v>
          </cell>
          <cell r="E48">
            <v>0.5</v>
          </cell>
          <cell r="F48">
            <v>0.1</v>
          </cell>
          <cell r="G48">
            <v>62101</v>
          </cell>
          <cell r="I48">
            <v>3105.05</v>
          </cell>
        </row>
        <row r="50">
          <cell r="B50" t="str">
            <v>MT5</v>
          </cell>
          <cell r="C50" t="str">
            <v>Mãng MT5</v>
          </cell>
          <cell r="H50">
            <v>1012202.3482499999</v>
          </cell>
          <cell r="I50">
            <v>1402326.487865</v>
          </cell>
          <cell r="J50">
            <v>224</v>
          </cell>
        </row>
        <row r="51">
          <cell r="C51" t="str">
            <v>a)VËt liÖu</v>
          </cell>
        </row>
        <row r="52">
          <cell r="C52" t="str">
            <v>Bª t«ng M50</v>
          </cell>
          <cell r="D52" t="str">
            <v>m3</v>
          </cell>
          <cell r="E52">
            <v>0.35</v>
          </cell>
          <cell r="F52">
            <v>1</v>
          </cell>
          <cell r="G52">
            <v>193264.77499999999</v>
          </cell>
          <cell r="H52">
            <v>67642.671249999999</v>
          </cell>
        </row>
        <row r="53">
          <cell r="C53" t="str">
            <v>Bª t«ng M150</v>
          </cell>
          <cell r="D53" t="str">
            <v>m3</v>
          </cell>
          <cell r="E53">
            <v>1.82</v>
          </cell>
          <cell r="F53">
            <v>1</v>
          </cell>
          <cell r="G53">
            <v>283488.34999999998</v>
          </cell>
          <cell r="H53">
            <v>515948.79699999996</v>
          </cell>
        </row>
        <row r="54">
          <cell r="C54" t="str">
            <v>Bª t«ng M200</v>
          </cell>
          <cell r="D54" t="str">
            <v>m3</v>
          </cell>
          <cell r="E54">
            <v>0.08</v>
          </cell>
          <cell r="F54">
            <v>1</v>
          </cell>
          <cell r="G54">
            <v>331771.99999999994</v>
          </cell>
          <cell r="H54">
            <v>26541.759999999995</v>
          </cell>
        </row>
        <row r="55">
          <cell r="B55" t="str">
            <v>§G tØnh</v>
          </cell>
          <cell r="C55" t="str">
            <v>S¾t F16</v>
          </cell>
          <cell r="D55" t="str">
            <v>kg</v>
          </cell>
          <cell r="E55">
            <v>3.6</v>
          </cell>
          <cell r="F55">
            <v>1.02</v>
          </cell>
          <cell r="G55">
            <v>4000</v>
          </cell>
          <cell r="H55">
            <v>14688</v>
          </cell>
        </row>
        <row r="56">
          <cell r="B56" t="str">
            <v>§G tØnh</v>
          </cell>
          <cell r="C56" t="str">
            <v>S¾t F8</v>
          </cell>
          <cell r="D56" t="str">
            <v>kg</v>
          </cell>
          <cell r="E56">
            <v>4.8</v>
          </cell>
          <cell r="F56">
            <v>1.02</v>
          </cell>
          <cell r="G56">
            <v>4320</v>
          </cell>
          <cell r="H56">
            <v>21150.720000000001</v>
          </cell>
        </row>
        <row r="57">
          <cell r="B57" t="str">
            <v>§G tØnh</v>
          </cell>
          <cell r="C57" t="str">
            <v>S¾t F10</v>
          </cell>
          <cell r="D57" t="str">
            <v>kg</v>
          </cell>
          <cell r="E57">
            <v>5.6</v>
          </cell>
          <cell r="F57">
            <v>1.02</v>
          </cell>
          <cell r="G57">
            <v>4200</v>
          </cell>
          <cell r="H57">
            <v>23990.399999999998</v>
          </cell>
        </row>
        <row r="58">
          <cell r="B58" t="str">
            <v>04-2001</v>
          </cell>
          <cell r="C58" t="str">
            <v>Gç v¸n khu«n cÇu c«ng t¸c</v>
          </cell>
          <cell r="D58" t="str">
            <v>m2</v>
          </cell>
          <cell r="E58">
            <v>18.399999999999999</v>
          </cell>
          <cell r="F58">
            <v>1</v>
          </cell>
          <cell r="G58">
            <v>18600</v>
          </cell>
          <cell r="H58">
            <v>342240</v>
          </cell>
        </row>
        <row r="59">
          <cell r="C59" t="str">
            <v xml:space="preserve">b) Nh©n c«ng </v>
          </cell>
        </row>
        <row r="60">
          <cell r="B60" t="str">
            <v>03,1113</v>
          </cell>
          <cell r="C60" t="str">
            <v xml:space="preserve">§µo ®Êt hè mãng </v>
          </cell>
          <cell r="D60" t="str">
            <v>m3</v>
          </cell>
          <cell r="E60">
            <v>33.659999999999997</v>
          </cell>
          <cell r="F60">
            <v>1</v>
          </cell>
          <cell r="G60">
            <v>24428</v>
          </cell>
          <cell r="I60">
            <v>822246.47999999986</v>
          </cell>
        </row>
        <row r="61">
          <cell r="B61" t="str">
            <v>03,2203</v>
          </cell>
          <cell r="C61" t="str">
            <v>LÊp ®Êt hè mãng</v>
          </cell>
          <cell r="D61" t="str">
            <v>m3</v>
          </cell>
          <cell r="E61">
            <v>31.41</v>
          </cell>
          <cell r="F61">
            <v>1</v>
          </cell>
          <cell r="G61">
            <v>10890</v>
          </cell>
          <cell r="I61">
            <v>342054.9</v>
          </cell>
        </row>
        <row r="62">
          <cell r="B62" t="str">
            <v>ChiÕt tÝnh</v>
          </cell>
          <cell r="C62" t="str">
            <v>§æ bª t«ng M50</v>
          </cell>
          <cell r="D62" t="str">
            <v>m3</v>
          </cell>
          <cell r="E62">
            <v>0.35</v>
          </cell>
          <cell r="F62">
            <v>1</v>
          </cell>
          <cell r="G62">
            <v>45030</v>
          </cell>
          <cell r="I62">
            <v>15760.499999999998</v>
          </cell>
        </row>
        <row r="63">
          <cell r="B63" t="str">
            <v>ChiÕt tÝnh</v>
          </cell>
          <cell r="C63" t="str">
            <v>§æ bª t«ng M150</v>
          </cell>
          <cell r="D63" t="str">
            <v>m3</v>
          </cell>
          <cell r="E63">
            <v>1.82</v>
          </cell>
          <cell r="F63">
            <v>1</v>
          </cell>
          <cell r="G63">
            <v>45030</v>
          </cell>
          <cell r="I63">
            <v>81954.600000000006</v>
          </cell>
        </row>
        <row r="64">
          <cell r="B64" t="str">
            <v>ChiÕt tÝnh</v>
          </cell>
          <cell r="C64" t="str">
            <v>§æ bª t«ng M200</v>
          </cell>
          <cell r="D64" t="str">
            <v>m3</v>
          </cell>
          <cell r="E64">
            <v>0.08</v>
          </cell>
          <cell r="F64">
            <v>1</v>
          </cell>
          <cell r="G64">
            <v>45030</v>
          </cell>
          <cell r="I64">
            <v>3602.4</v>
          </cell>
        </row>
        <row r="65">
          <cell r="B65" t="str">
            <v>02,1781</v>
          </cell>
          <cell r="C65" t="str">
            <v>V/c dông cô thi c«ng</v>
          </cell>
          <cell r="D65" t="str">
            <v>tÊn</v>
          </cell>
          <cell r="E65">
            <v>0.2</v>
          </cell>
          <cell r="F65">
            <v>0.1</v>
          </cell>
          <cell r="G65">
            <v>115370</v>
          </cell>
          <cell r="I65">
            <v>2307.4000000000005</v>
          </cell>
        </row>
        <row r="66">
          <cell r="C66" t="str">
            <v>V/c bª t«ng M 200</v>
          </cell>
          <cell r="D66" t="str">
            <v>m3</v>
          </cell>
          <cell r="E66">
            <v>0.08</v>
          </cell>
          <cell r="F66">
            <v>1</v>
          </cell>
          <cell r="G66">
            <v>14978.229500000001</v>
          </cell>
          <cell r="I66">
            <v>1198.25836</v>
          </cell>
        </row>
        <row r="67">
          <cell r="C67" t="str">
            <v>V/c bª t«ng M150</v>
          </cell>
          <cell r="D67" t="str">
            <v>m3</v>
          </cell>
          <cell r="E67">
            <v>1.82</v>
          </cell>
          <cell r="F67">
            <v>1</v>
          </cell>
          <cell r="G67">
            <v>14862.2945</v>
          </cell>
          <cell r="I67">
            <v>27049.37599</v>
          </cell>
        </row>
        <row r="68">
          <cell r="C68" t="str">
            <v>V/c bª t«ng M 50</v>
          </cell>
          <cell r="D68" t="str">
            <v>m3</v>
          </cell>
          <cell r="E68">
            <v>0.35</v>
          </cell>
          <cell r="F68">
            <v>1</v>
          </cell>
          <cell r="G68">
            <v>14471.352900000002</v>
          </cell>
          <cell r="I68">
            <v>5064.9735150000006</v>
          </cell>
        </row>
        <row r="69">
          <cell r="B69" t="str">
            <v>04,1201</v>
          </cell>
          <cell r="C69" t="str">
            <v>Gia c«ng thÐp F&lt;=10</v>
          </cell>
          <cell r="D69" t="str">
            <v>kg</v>
          </cell>
          <cell r="E69">
            <v>14</v>
          </cell>
          <cell r="F69">
            <v>1</v>
          </cell>
          <cell r="G69">
            <v>243</v>
          </cell>
          <cell r="I69">
            <v>3402</v>
          </cell>
        </row>
        <row r="70">
          <cell r="B70" t="str">
            <v>04-2001</v>
          </cell>
          <cell r="C70" t="str">
            <v>L¾p dùng v¸n khu«n gç</v>
          </cell>
          <cell r="D70" t="str">
            <v>m2</v>
          </cell>
          <cell r="E70">
            <v>18.399999999999999</v>
          </cell>
          <cell r="F70">
            <v>1</v>
          </cell>
          <cell r="G70">
            <v>5309</v>
          </cell>
          <cell r="I70">
            <v>97685.599999999991</v>
          </cell>
        </row>
        <row r="71">
          <cell r="C71" t="str">
            <v>C/ M¸y thi c«ng</v>
          </cell>
        </row>
        <row r="72">
          <cell r="B72" t="str">
            <v>04,1201</v>
          </cell>
          <cell r="C72" t="str">
            <v>Gia c«ng thÐp F&lt;=10</v>
          </cell>
          <cell r="D72" t="str">
            <v>kg</v>
          </cell>
          <cell r="E72">
            <v>14</v>
          </cell>
          <cell r="F72">
            <v>1</v>
          </cell>
          <cell r="G72">
            <v>16</v>
          </cell>
          <cell r="J72">
            <v>224</v>
          </cell>
        </row>
        <row r="74">
          <cell r="B74" t="str">
            <v>MT4</v>
          </cell>
          <cell r="C74" t="str">
            <v>Mãng MT4</v>
          </cell>
          <cell r="H74">
            <v>920510.53350000002</v>
          </cell>
          <cell r="I74">
            <v>1059695.7254270001</v>
          </cell>
          <cell r="J74">
            <v>224</v>
          </cell>
        </row>
        <row r="75">
          <cell r="C75" t="str">
            <v>a)VËt liÖu</v>
          </cell>
        </row>
        <row r="76">
          <cell r="C76" t="str">
            <v>Bª t«ng M50</v>
          </cell>
          <cell r="D76" t="str">
            <v>m3</v>
          </cell>
          <cell r="E76">
            <v>0.28000000000000003</v>
          </cell>
          <cell r="F76">
            <v>1</v>
          </cell>
          <cell r="G76">
            <v>193264.77499999999</v>
          </cell>
          <cell r="H76">
            <v>54114.137000000002</v>
          </cell>
        </row>
        <row r="77">
          <cell r="C77" t="str">
            <v>Bª t«ng M150</v>
          </cell>
          <cell r="D77" t="str">
            <v>m3</v>
          </cell>
          <cell r="E77">
            <v>1.59</v>
          </cell>
          <cell r="F77">
            <v>1</v>
          </cell>
          <cell r="G77">
            <v>283488.34999999998</v>
          </cell>
          <cell r="H77">
            <v>450746.47649999999</v>
          </cell>
        </row>
        <row r="78">
          <cell r="C78" t="str">
            <v>Bª t«ng M200</v>
          </cell>
          <cell r="D78" t="str">
            <v>m3</v>
          </cell>
          <cell r="E78">
            <v>0.08</v>
          </cell>
          <cell r="F78">
            <v>1</v>
          </cell>
          <cell r="G78">
            <v>331771.99999999994</v>
          </cell>
          <cell r="H78">
            <v>26541.759999999995</v>
          </cell>
        </row>
        <row r="79">
          <cell r="B79" t="str">
            <v>§G tØnh</v>
          </cell>
          <cell r="C79" t="str">
            <v>S¾t F6</v>
          </cell>
          <cell r="D79" t="str">
            <v>kg</v>
          </cell>
          <cell r="E79">
            <v>3.6</v>
          </cell>
          <cell r="F79">
            <v>1.02</v>
          </cell>
          <cell r="G79">
            <v>4320</v>
          </cell>
          <cell r="H79">
            <v>15863.04</v>
          </cell>
        </row>
        <row r="80">
          <cell r="B80" t="str">
            <v>§G tØnh</v>
          </cell>
          <cell r="C80" t="str">
            <v>S¾t F8</v>
          </cell>
          <cell r="D80" t="str">
            <v>kg</v>
          </cell>
          <cell r="E80">
            <v>4.8</v>
          </cell>
          <cell r="F80">
            <v>1.02</v>
          </cell>
          <cell r="G80">
            <v>4320</v>
          </cell>
          <cell r="H80">
            <v>21150.720000000001</v>
          </cell>
        </row>
        <row r="81">
          <cell r="B81" t="str">
            <v>§G tØnh</v>
          </cell>
          <cell r="C81" t="str">
            <v>S¾t F10</v>
          </cell>
          <cell r="D81" t="str">
            <v>kg</v>
          </cell>
          <cell r="E81">
            <v>5.6</v>
          </cell>
          <cell r="F81">
            <v>1.02</v>
          </cell>
          <cell r="G81">
            <v>4200</v>
          </cell>
          <cell r="H81">
            <v>23990.399999999998</v>
          </cell>
        </row>
        <row r="82">
          <cell r="B82" t="str">
            <v>04-2001</v>
          </cell>
          <cell r="C82" t="str">
            <v>Gç v¸n khu«n cÇu c«ng t¸c</v>
          </cell>
          <cell r="D82" t="str">
            <v>m2</v>
          </cell>
          <cell r="E82">
            <v>16.8</v>
          </cell>
          <cell r="F82">
            <v>1.05</v>
          </cell>
          <cell r="G82">
            <v>18600</v>
          </cell>
          <cell r="H82">
            <v>328104</v>
          </cell>
        </row>
        <row r="83">
          <cell r="C83" t="str">
            <v xml:space="preserve">b) Nh©n c«ng </v>
          </cell>
        </row>
        <row r="84">
          <cell r="B84" t="str">
            <v>03,1113</v>
          </cell>
          <cell r="C84" t="str">
            <v xml:space="preserve">§µo ®Êt hè mãng </v>
          </cell>
          <cell r="D84" t="str">
            <v>m3</v>
          </cell>
          <cell r="E84">
            <v>24.68</v>
          </cell>
          <cell r="F84">
            <v>1</v>
          </cell>
          <cell r="G84">
            <v>24428</v>
          </cell>
          <cell r="I84">
            <v>602883.04</v>
          </cell>
        </row>
        <row r="85">
          <cell r="B85" t="str">
            <v>03,2203</v>
          </cell>
          <cell r="C85" t="str">
            <v>LÊp ®Êt hè mãng</v>
          </cell>
          <cell r="D85" t="str">
            <v>m3</v>
          </cell>
          <cell r="E85">
            <v>22.73</v>
          </cell>
          <cell r="F85">
            <v>1</v>
          </cell>
          <cell r="G85">
            <v>10890</v>
          </cell>
          <cell r="I85">
            <v>247529.7</v>
          </cell>
        </row>
        <row r="86">
          <cell r="B86" t="str">
            <v>ChiÕt tÝnh</v>
          </cell>
          <cell r="C86" t="str">
            <v>§æ bª t«ng M50</v>
          </cell>
          <cell r="D86" t="str">
            <v>m3</v>
          </cell>
          <cell r="E86">
            <v>0.28000000000000003</v>
          </cell>
          <cell r="F86">
            <v>1</v>
          </cell>
          <cell r="G86">
            <v>45030</v>
          </cell>
          <cell r="I86">
            <v>12608.400000000001</v>
          </cell>
        </row>
        <row r="87">
          <cell r="B87" t="str">
            <v>ChiÕt tÝnh</v>
          </cell>
          <cell r="C87" t="str">
            <v>§æ bª t«ng M150</v>
          </cell>
          <cell r="D87" t="str">
            <v>m3</v>
          </cell>
          <cell r="E87">
            <v>1.59</v>
          </cell>
          <cell r="F87">
            <v>1</v>
          </cell>
          <cell r="G87">
            <v>45030</v>
          </cell>
          <cell r="I87">
            <v>71597.7</v>
          </cell>
        </row>
        <row r="88">
          <cell r="B88" t="str">
            <v>ChiÕt tÝnh</v>
          </cell>
          <cell r="C88" t="str">
            <v>§æ bª t«ng M200</v>
          </cell>
          <cell r="D88" t="str">
            <v>m3</v>
          </cell>
          <cell r="E88">
            <v>0.08</v>
          </cell>
          <cell r="F88">
            <v>1</v>
          </cell>
          <cell r="G88">
            <v>45030</v>
          </cell>
          <cell r="I88">
            <v>3602.4</v>
          </cell>
        </row>
        <row r="89">
          <cell r="C89" t="str">
            <v>V/c bª t«ng M 200</v>
          </cell>
          <cell r="D89" t="str">
            <v>m3</v>
          </cell>
          <cell r="E89">
            <v>0.08</v>
          </cell>
          <cell r="F89">
            <v>1</v>
          </cell>
          <cell r="G89">
            <v>14978.229500000001</v>
          </cell>
          <cell r="I89">
            <v>1198.25836</v>
          </cell>
        </row>
        <row r="90">
          <cell r="C90" t="str">
            <v>V/c bª t«ng M150</v>
          </cell>
          <cell r="D90" t="str">
            <v>m3</v>
          </cell>
          <cell r="E90">
            <v>1.59</v>
          </cell>
          <cell r="F90">
            <v>1</v>
          </cell>
          <cell r="G90">
            <v>14862.2945</v>
          </cell>
          <cell r="I90">
            <v>23631.048255000002</v>
          </cell>
        </row>
        <row r="91">
          <cell r="C91" t="str">
            <v>V/c bª t«ng M 50</v>
          </cell>
          <cell r="D91" t="str">
            <v>m3</v>
          </cell>
          <cell r="E91">
            <v>0.28000000000000003</v>
          </cell>
          <cell r="F91">
            <v>1</v>
          </cell>
          <cell r="G91">
            <v>14471.352900000002</v>
          </cell>
          <cell r="I91">
            <v>4051.9788120000007</v>
          </cell>
        </row>
        <row r="92">
          <cell r="B92" t="str">
            <v>04,1201</v>
          </cell>
          <cell r="C92" t="str">
            <v>Gia c«ng thÐp F&lt;=10</v>
          </cell>
          <cell r="D92" t="str">
            <v>kg</v>
          </cell>
          <cell r="E92">
            <v>14</v>
          </cell>
          <cell r="F92">
            <v>1</v>
          </cell>
          <cell r="G92">
            <v>243</v>
          </cell>
          <cell r="I92">
            <v>3402</v>
          </cell>
        </row>
        <row r="93">
          <cell r="B93" t="str">
            <v>04-2001</v>
          </cell>
          <cell r="C93" t="str">
            <v>L¾p dùng v¸n khu«n gç</v>
          </cell>
          <cell r="D93" t="str">
            <v>m2</v>
          </cell>
          <cell r="E93">
            <v>16.8</v>
          </cell>
          <cell r="F93">
            <v>1</v>
          </cell>
          <cell r="G93">
            <v>5309</v>
          </cell>
          <cell r="I93">
            <v>89191.2</v>
          </cell>
        </row>
        <row r="94">
          <cell r="C94" t="str">
            <v>C/ M¸y thi c«ng</v>
          </cell>
        </row>
        <row r="95">
          <cell r="B95" t="str">
            <v>04,1201</v>
          </cell>
          <cell r="C95" t="str">
            <v>Gia c«ng thÐp F&lt;=10</v>
          </cell>
          <cell r="D95" t="str">
            <v>kg</v>
          </cell>
          <cell r="E95">
            <v>14</v>
          </cell>
          <cell r="F95">
            <v>1</v>
          </cell>
          <cell r="G95">
            <v>16</v>
          </cell>
          <cell r="J95">
            <v>224</v>
          </cell>
        </row>
        <row r="97">
          <cell r="B97" t="str">
            <v>MTD4</v>
          </cell>
          <cell r="C97" t="str">
            <v>Mãng MT§4</v>
          </cell>
          <cell r="H97">
            <v>4108342.7224999997</v>
          </cell>
          <cell r="I97">
            <v>1841232.5733</v>
          </cell>
          <cell r="J97">
            <v>5371.2</v>
          </cell>
        </row>
        <row r="98">
          <cell r="C98" t="str">
            <v>a)VËt liÖu</v>
          </cell>
        </row>
        <row r="99">
          <cell r="C99" t="str">
            <v>Bª t«ng M50</v>
          </cell>
          <cell r="D99" t="str">
            <v>m3</v>
          </cell>
          <cell r="E99">
            <v>1.5</v>
          </cell>
          <cell r="F99">
            <v>1</v>
          </cell>
          <cell r="G99">
            <v>193264.77499999999</v>
          </cell>
          <cell r="H99">
            <v>289897.16249999998</v>
          </cell>
        </row>
        <row r="100">
          <cell r="C100" t="str">
            <v>Bª t«ng M150</v>
          </cell>
          <cell r="D100" t="str">
            <v>m3</v>
          </cell>
          <cell r="E100">
            <v>5.6</v>
          </cell>
          <cell r="F100">
            <v>1</v>
          </cell>
          <cell r="G100">
            <v>283488.34999999998</v>
          </cell>
          <cell r="H100">
            <v>1587534.7599999998</v>
          </cell>
        </row>
        <row r="101">
          <cell r="C101" t="str">
            <v>Bª t«ng M200</v>
          </cell>
          <cell r="D101" t="str">
            <v>m3</v>
          </cell>
          <cell r="E101">
            <v>0.5</v>
          </cell>
          <cell r="F101">
            <v>1</v>
          </cell>
          <cell r="G101">
            <v>331771.99999999994</v>
          </cell>
          <cell r="H101">
            <v>165885.99999999997</v>
          </cell>
        </row>
        <row r="102">
          <cell r="B102" t="str">
            <v>§G tØnh</v>
          </cell>
          <cell r="C102" t="str">
            <v>S¾t F6</v>
          </cell>
          <cell r="D102" t="str">
            <v>kg</v>
          </cell>
          <cell r="E102">
            <v>19.5</v>
          </cell>
          <cell r="F102">
            <v>1.02</v>
          </cell>
          <cell r="G102">
            <v>4320</v>
          </cell>
          <cell r="H102">
            <v>85924.800000000003</v>
          </cell>
        </row>
        <row r="103">
          <cell r="B103" t="str">
            <v>§G tØnh</v>
          </cell>
          <cell r="C103" t="str">
            <v>S¾t F10</v>
          </cell>
          <cell r="D103" t="str">
            <v>kg</v>
          </cell>
          <cell r="E103">
            <v>241</v>
          </cell>
          <cell r="F103">
            <v>1.02</v>
          </cell>
          <cell r="G103">
            <v>4200</v>
          </cell>
          <cell r="H103">
            <v>1032444</v>
          </cell>
        </row>
        <row r="104">
          <cell r="B104" t="str">
            <v>§G tØnh</v>
          </cell>
          <cell r="C104" t="str">
            <v>S¾t F12</v>
          </cell>
          <cell r="D104" t="str">
            <v>kg</v>
          </cell>
          <cell r="E104">
            <v>75.2</v>
          </cell>
          <cell r="F104">
            <v>1.02</v>
          </cell>
          <cell r="G104">
            <v>4000</v>
          </cell>
          <cell r="H104">
            <v>306816.00000000006</v>
          </cell>
        </row>
        <row r="105">
          <cell r="B105" t="str">
            <v>04-2001</v>
          </cell>
          <cell r="C105" t="str">
            <v>Gç v¸n khu«n cÇu c«ng t¸c</v>
          </cell>
          <cell r="D105" t="str">
            <v>m2</v>
          </cell>
          <cell r="E105">
            <v>34.4</v>
          </cell>
          <cell r="F105">
            <v>1</v>
          </cell>
          <cell r="G105">
            <v>18600</v>
          </cell>
          <cell r="H105">
            <v>639840</v>
          </cell>
        </row>
        <row r="106">
          <cell r="C106" t="str">
            <v xml:space="preserve">b) Nh©n c«ng </v>
          </cell>
        </row>
        <row r="107">
          <cell r="B107" t="str">
            <v>03,1113</v>
          </cell>
          <cell r="C107" t="str">
            <v xml:space="preserve">§µo ®Êt hè mãng </v>
          </cell>
          <cell r="D107" t="str">
            <v>m3</v>
          </cell>
          <cell r="E107">
            <v>33.659999999999997</v>
          </cell>
          <cell r="F107">
            <v>1</v>
          </cell>
          <cell r="G107">
            <v>24428</v>
          </cell>
          <cell r="I107">
            <v>822246.47999999986</v>
          </cell>
        </row>
        <row r="108">
          <cell r="B108" t="str">
            <v>03,2203</v>
          </cell>
          <cell r="C108" t="str">
            <v>LÊp ®Êt hè mãng</v>
          </cell>
          <cell r="D108" t="str">
            <v>m3</v>
          </cell>
          <cell r="E108">
            <v>27.559999999999995</v>
          </cell>
          <cell r="F108">
            <v>1</v>
          </cell>
          <cell r="G108">
            <v>10890</v>
          </cell>
          <cell r="I108">
            <v>300128.39999999997</v>
          </cell>
        </row>
        <row r="109">
          <cell r="C109" t="str">
            <v>§æ bª t«ng M50</v>
          </cell>
          <cell r="D109" t="str">
            <v>m3</v>
          </cell>
          <cell r="E109">
            <v>1.5</v>
          </cell>
          <cell r="F109">
            <v>1</v>
          </cell>
          <cell r="G109">
            <v>45030</v>
          </cell>
          <cell r="I109">
            <v>67545</v>
          </cell>
        </row>
        <row r="110">
          <cell r="C110" t="str">
            <v>§æ bª t«ng M150</v>
          </cell>
          <cell r="D110" t="str">
            <v>m3</v>
          </cell>
          <cell r="E110">
            <v>5.6</v>
          </cell>
          <cell r="F110">
            <v>1</v>
          </cell>
          <cell r="G110">
            <v>45030</v>
          </cell>
          <cell r="I110">
            <v>252167.99999999997</v>
          </cell>
        </row>
        <row r="111">
          <cell r="C111" t="str">
            <v>§æ bª t«ng M200</v>
          </cell>
          <cell r="D111" t="str">
            <v>m3</v>
          </cell>
          <cell r="E111">
            <v>0.5</v>
          </cell>
          <cell r="F111">
            <v>1</v>
          </cell>
          <cell r="G111">
            <v>45030</v>
          </cell>
          <cell r="I111">
            <v>22515</v>
          </cell>
        </row>
        <row r="112">
          <cell r="B112" t="str">
            <v>ChiÕt tÝnh</v>
          </cell>
          <cell r="C112" t="str">
            <v>V/c bª t«ng M 200</v>
          </cell>
          <cell r="D112" t="str">
            <v>m3</v>
          </cell>
          <cell r="E112">
            <v>0.5</v>
          </cell>
          <cell r="F112">
            <v>1</v>
          </cell>
          <cell r="G112">
            <v>14978.229500000001</v>
          </cell>
          <cell r="I112">
            <v>7489.1147500000006</v>
          </cell>
        </row>
        <row r="113">
          <cell r="B113" t="str">
            <v>ChiÕt tÝnh</v>
          </cell>
          <cell r="C113" t="str">
            <v>V/c bª t«ng M150</v>
          </cell>
          <cell r="D113" t="str">
            <v>m3</v>
          </cell>
          <cell r="E113">
            <v>5.6</v>
          </cell>
          <cell r="F113">
            <v>1</v>
          </cell>
          <cell r="G113">
            <v>14862.2945</v>
          </cell>
          <cell r="I113">
            <v>83228.849199999997</v>
          </cell>
        </row>
        <row r="114">
          <cell r="B114" t="str">
            <v>ChiÕt tÝnh</v>
          </cell>
          <cell r="C114" t="str">
            <v>V/c bª t«ng M 50</v>
          </cell>
          <cell r="D114" t="str">
            <v>m3</v>
          </cell>
          <cell r="E114">
            <v>1.5</v>
          </cell>
          <cell r="F114">
            <v>1</v>
          </cell>
          <cell r="G114">
            <v>14471.352900000002</v>
          </cell>
          <cell r="I114">
            <v>21707.029350000004</v>
          </cell>
        </row>
        <row r="115">
          <cell r="B115" t="str">
            <v>04,1201</v>
          </cell>
          <cell r="C115" t="str">
            <v>Gia c«ng thÐp F&lt;=10</v>
          </cell>
          <cell r="D115" t="str">
            <v>kg</v>
          </cell>
          <cell r="E115">
            <v>335.7</v>
          </cell>
          <cell r="F115">
            <v>1</v>
          </cell>
          <cell r="G115">
            <v>243</v>
          </cell>
          <cell r="I115">
            <v>81575.099999999991</v>
          </cell>
        </row>
        <row r="116">
          <cell r="B116" t="str">
            <v>04-2001</v>
          </cell>
          <cell r="C116" t="str">
            <v>L¾p dùng v¸n khu«n gç</v>
          </cell>
          <cell r="D116" t="str">
            <v>m2</v>
          </cell>
          <cell r="E116">
            <v>34.4</v>
          </cell>
          <cell r="F116">
            <v>1</v>
          </cell>
          <cell r="G116">
            <v>5309</v>
          </cell>
          <cell r="I116">
            <v>182629.6</v>
          </cell>
        </row>
        <row r="117">
          <cell r="C117" t="str">
            <v>C/ M¸y thi c«ng</v>
          </cell>
        </row>
        <row r="118">
          <cell r="B118" t="str">
            <v>04,1201</v>
          </cell>
          <cell r="C118" t="str">
            <v>Gia c«ng thÐp F&lt;=10</v>
          </cell>
          <cell r="D118" t="str">
            <v>kg</v>
          </cell>
          <cell r="E118">
            <v>335.7</v>
          </cell>
          <cell r="F118">
            <v>1</v>
          </cell>
          <cell r="G118">
            <v>16</v>
          </cell>
          <cell r="J118">
            <v>5371.2</v>
          </cell>
        </row>
        <row r="120">
          <cell r="B120" t="str">
            <v>MN 18-6</v>
          </cell>
          <cell r="C120" t="str">
            <v>Mãng MN 18-6</v>
          </cell>
          <cell r="H120">
            <v>237819.26799999998</v>
          </cell>
          <cell r="I120">
            <v>280337.64650000003</v>
          </cell>
          <cell r="J120">
            <v>8788.5</v>
          </cell>
        </row>
        <row r="121">
          <cell r="C121" t="str">
            <v>a)VËt liÖu</v>
          </cell>
        </row>
        <row r="122">
          <cell r="B122" t="str">
            <v>§G tØnh</v>
          </cell>
          <cell r="C122" t="str">
            <v>S¾t F 27</v>
          </cell>
          <cell r="D122" t="str">
            <v>kg</v>
          </cell>
          <cell r="E122">
            <v>22.9</v>
          </cell>
          <cell r="F122">
            <v>1.02</v>
          </cell>
          <cell r="G122">
            <v>4000</v>
          </cell>
          <cell r="H122">
            <v>93432</v>
          </cell>
        </row>
        <row r="123">
          <cell r="B123" t="str">
            <v>§G tØnh</v>
          </cell>
          <cell r="C123" t="str">
            <v>S¨t F 14</v>
          </cell>
          <cell r="D123" t="str">
            <v>kg</v>
          </cell>
          <cell r="E123">
            <v>18.600000000000001</v>
          </cell>
          <cell r="F123">
            <v>1.02</v>
          </cell>
          <cell r="G123">
            <v>4000</v>
          </cell>
          <cell r="H123">
            <v>75888</v>
          </cell>
        </row>
        <row r="124">
          <cell r="B124" t="str">
            <v>§G tØnh</v>
          </cell>
          <cell r="C124" t="str">
            <v>S¾t F6</v>
          </cell>
          <cell r="D124" t="str">
            <v>kg</v>
          </cell>
          <cell r="E124">
            <v>3.9</v>
          </cell>
          <cell r="F124">
            <v>1.02</v>
          </cell>
          <cell r="G124">
            <v>4320</v>
          </cell>
          <cell r="H124">
            <v>17184.96</v>
          </cell>
        </row>
        <row r="125">
          <cell r="B125" t="str">
            <v>§G tØnh</v>
          </cell>
          <cell r="C125" t="str">
            <v>ThÐp dÑt d6</v>
          </cell>
          <cell r="D125" t="str">
            <v>kg</v>
          </cell>
          <cell r="E125">
            <v>1.1000000000000001</v>
          </cell>
          <cell r="F125">
            <v>1.02</v>
          </cell>
          <cell r="G125">
            <v>4134</v>
          </cell>
          <cell r="H125">
            <v>4638.3480000000009</v>
          </cell>
        </row>
        <row r="126">
          <cell r="B126" t="str">
            <v>§G tØnh</v>
          </cell>
          <cell r="C126" t="str">
            <v>D©y thÐp buéc F1</v>
          </cell>
          <cell r="D126" t="str">
            <v>kg</v>
          </cell>
          <cell r="E126">
            <v>0.36</v>
          </cell>
          <cell r="F126">
            <v>1.02</v>
          </cell>
          <cell r="G126">
            <v>8000</v>
          </cell>
          <cell r="H126">
            <v>2937.6</v>
          </cell>
        </row>
        <row r="127">
          <cell r="B127" t="str">
            <v>§G tØnh</v>
          </cell>
          <cell r="C127" t="str">
            <v>Que hµn ®iÖn</v>
          </cell>
          <cell r="D127" t="str">
            <v>kg</v>
          </cell>
          <cell r="E127">
            <v>0.08</v>
          </cell>
          <cell r="F127">
            <v>1</v>
          </cell>
          <cell r="G127">
            <v>7600</v>
          </cell>
          <cell r="H127">
            <v>608</v>
          </cell>
        </row>
        <row r="128">
          <cell r="B128" t="str">
            <v>chiÕt tÝnh</v>
          </cell>
          <cell r="C128" t="str">
            <v>Bª t«ng ®óc s½n M 200 (§óc s½n)</v>
          </cell>
          <cell r="D128" t="str">
            <v>m3</v>
          </cell>
          <cell r="E128">
            <v>0.13</v>
          </cell>
          <cell r="F128">
            <v>1</v>
          </cell>
          <cell r="G128">
            <v>331771.99999999994</v>
          </cell>
          <cell r="H128">
            <v>43130.359999999993</v>
          </cell>
        </row>
        <row r="129">
          <cell r="C129" t="str">
            <v xml:space="preserve">b) Nh©n c«ng </v>
          </cell>
        </row>
        <row r="130">
          <cell r="B130" t="str">
            <v>03,1113</v>
          </cell>
          <cell r="C130" t="str">
            <v xml:space="preserve">§µo ®Êt hè mãng </v>
          </cell>
          <cell r="D130" t="str">
            <v>m3</v>
          </cell>
          <cell r="E130">
            <v>6.58</v>
          </cell>
          <cell r="F130">
            <v>1</v>
          </cell>
          <cell r="G130">
            <v>24428</v>
          </cell>
          <cell r="I130">
            <v>160736.24</v>
          </cell>
        </row>
        <row r="131">
          <cell r="B131" t="str">
            <v>03,2203</v>
          </cell>
          <cell r="C131" t="str">
            <v>LÊp ®Êt hè mãng</v>
          </cell>
          <cell r="D131" t="str">
            <v>m3</v>
          </cell>
          <cell r="E131">
            <v>6.45</v>
          </cell>
          <cell r="F131">
            <v>1</v>
          </cell>
          <cell r="G131">
            <v>10890</v>
          </cell>
          <cell r="I131">
            <v>70240.5</v>
          </cell>
        </row>
        <row r="132">
          <cell r="B132" t="str">
            <v>04.3611</v>
          </cell>
          <cell r="C132" t="str">
            <v>§óc s½n tÊm nÐo</v>
          </cell>
          <cell r="D132" t="str">
            <v>m3</v>
          </cell>
          <cell r="E132">
            <v>0.13</v>
          </cell>
          <cell r="F132">
            <v>1</v>
          </cell>
          <cell r="G132">
            <v>50328</v>
          </cell>
          <cell r="I132">
            <v>6542.64</v>
          </cell>
        </row>
        <row r="133">
          <cell r="B133" t="str">
            <v>ChiÕt tÝnh</v>
          </cell>
          <cell r="C133" t="str">
            <v>V/c bª t«ng M 200</v>
          </cell>
          <cell r="D133" t="str">
            <v>m3</v>
          </cell>
          <cell r="E133">
            <v>0.13</v>
          </cell>
          <cell r="F133">
            <v>1</v>
          </cell>
          <cell r="G133">
            <v>53433.05</v>
          </cell>
          <cell r="I133">
            <v>6946.2965000000004</v>
          </cell>
        </row>
        <row r="134">
          <cell r="B134" t="str">
            <v>04,1202</v>
          </cell>
          <cell r="C134" t="str">
            <v>Gia c«ng thÐp F&lt;=18</v>
          </cell>
          <cell r="D134" t="str">
            <v>kg</v>
          </cell>
          <cell r="E134">
            <v>46.5</v>
          </cell>
          <cell r="F134">
            <v>1</v>
          </cell>
          <cell r="G134">
            <v>148</v>
          </cell>
          <cell r="I134">
            <v>6882</v>
          </cell>
        </row>
        <row r="135">
          <cell r="B135" t="str">
            <v>04.3802</v>
          </cell>
          <cell r="C135" t="str">
            <v>L¾p tÊm nÐo &lt; 500kg</v>
          </cell>
          <cell r="D135" t="str">
            <v>tÊm</v>
          </cell>
          <cell r="E135">
            <v>1</v>
          </cell>
          <cell r="F135">
            <v>1</v>
          </cell>
          <cell r="G135">
            <v>24214</v>
          </cell>
          <cell r="I135">
            <v>24214</v>
          </cell>
        </row>
        <row r="136">
          <cell r="B136" t="str">
            <v>02.1451</v>
          </cell>
          <cell r="C136" t="str">
            <v>V/c tÊm nÐo</v>
          </cell>
          <cell r="D136" t="str">
            <v>tÊn</v>
          </cell>
          <cell r="E136">
            <v>0.3</v>
          </cell>
          <cell r="F136">
            <v>0.1</v>
          </cell>
          <cell r="G136">
            <v>90207</v>
          </cell>
          <cell r="I136">
            <v>2706.21</v>
          </cell>
        </row>
        <row r="137">
          <cell r="B137" t="str">
            <v>02.1421</v>
          </cell>
          <cell r="C137" t="str">
            <v>V/c mãc nÐo</v>
          </cell>
          <cell r="D137" t="str">
            <v>tÊn</v>
          </cell>
          <cell r="E137">
            <v>2.5000000000000001E-2</v>
          </cell>
          <cell r="F137">
            <v>0.1</v>
          </cell>
          <cell r="G137">
            <v>99184</v>
          </cell>
          <cell r="I137">
            <v>247.96000000000004</v>
          </cell>
        </row>
        <row r="138">
          <cell r="B138" t="str">
            <v>02.1781</v>
          </cell>
          <cell r="C138" t="str">
            <v>V/ dông cô thi c«ng</v>
          </cell>
          <cell r="D138" t="str">
            <v xml:space="preserve">tÊn </v>
          </cell>
          <cell r="E138">
            <v>0.2</v>
          </cell>
          <cell r="F138">
            <v>0.1</v>
          </cell>
          <cell r="G138">
            <v>91090</v>
          </cell>
          <cell r="I138">
            <v>1821.8000000000004</v>
          </cell>
        </row>
        <row r="139">
          <cell r="C139" t="str">
            <v>C/ M¸y thi c«ng</v>
          </cell>
        </row>
        <row r="140">
          <cell r="B140" t="str">
            <v>04,1202</v>
          </cell>
          <cell r="C140" t="str">
            <v>Gia c«ng thÐp F&lt;=18</v>
          </cell>
          <cell r="D140" t="str">
            <v>kg</v>
          </cell>
          <cell r="E140">
            <v>46.5</v>
          </cell>
          <cell r="F140">
            <v>1</v>
          </cell>
          <cell r="G140">
            <v>189</v>
          </cell>
          <cell r="J140">
            <v>8788.5</v>
          </cell>
        </row>
        <row r="142">
          <cell r="B142" t="str">
            <v>12c</v>
          </cell>
          <cell r="C142" t="str">
            <v>Cét BTLT 12C</v>
          </cell>
          <cell r="H142">
            <v>2360457.5460000001</v>
          </cell>
          <cell r="I142">
            <v>132636.6796</v>
          </cell>
        </row>
        <row r="143">
          <cell r="C143" t="str">
            <v>a)VËt liÖu</v>
          </cell>
        </row>
        <row r="144">
          <cell r="C144" t="str">
            <v>Cét BTLT 12C</v>
          </cell>
          <cell r="D144" t="str">
            <v>cét</v>
          </cell>
          <cell r="E144">
            <v>1</v>
          </cell>
          <cell r="F144">
            <v>1.002</v>
          </cell>
          <cell r="G144">
            <v>2347273</v>
          </cell>
          <cell r="H144">
            <v>2351967.5460000001</v>
          </cell>
        </row>
        <row r="145">
          <cell r="B145" t="str">
            <v>05,5213</v>
          </cell>
          <cell r="C145" t="str">
            <v>VËt liÖu phô</v>
          </cell>
          <cell r="D145" t="str">
            <v>cét</v>
          </cell>
          <cell r="E145">
            <v>1</v>
          </cell>
          <cell r="F145">
            <v>1</v>
          </cell>
          <cell r="G145">
            <v>8490</v>
          </cell>
          <cell r="H145">
            <v>8490</v>
          </cell>
        </row>
        <row r="146">
          <cell r="C146" t="str">
            <v>b)Nh©n c«ng</v>
          </cell>
        </row>
        <row r="147">
          <cell r="B147" t="str">
            <v>02,1461</v>
          </cell>
          <cell r="C147" t="str">
            <v>V/c cét 100m</v>
          </cell>
          <cell r="D147" t="str">
            <v>tÊn</v>
          </cell>
          <cell r="E147">
            <v>1.3560000000000001</v>
          </cell>
          <cell r="F147">
            <v>0.1</v>
          </cell>
          <cell r="G147">
            <v>140241</v>
          </cell>
          <cell r="I147">
            <v>19016.679600000003</v>
          </cell>
        </row>
        <row r="148">
          <cell r="B148" t="str">
            <v>05,5213</v>
          </cell>
          <cell r="C148" t="str">
            <v>Dùng cét</v>
          </cell>
          <cell r="D148" t="str">
            <v>cét</v>
          </cell>
          <cell r="E148">
            <v>1</v>
          </cell>
          <cell r="F148">
            <v>1</v>
          </cell>
          <cell r="G148">
            <v>86293</v>
          </cell>
          <cell r="I148">
            <v>86293</v>
          </cell>
        </row>
        <row r="149">
          <cell r="B149" t="str">
            <v>02,1481</v>
          </cell>
          <cell r="C149" t="str">
            <v>V/c dông cô thñ c«ng cét</v>
          </cell>
          <cell r="D149" t="str">
            <v>tÊn</v>
          </cell>
          <cell r="E149">
            <v>1.5</v>
          </cell>
          <cell r="F149">
            <v>0.2</v>
          </cell>
          <cell r="G149">
            <v>91090</v>
          </cell>
          <cell r="I149">
            <v>27327</v>
          </cell>
        </row>
        <row r="151">
          <cell r="B151" t="str">
            <v>16c</v>
          </cell>
          <cell r="C151" t="str">
            <v>Cét BTLT 16C</v>
          </cell>
          <cell r="H151">
            <v>4238934</v>
          </cell>
          <cell r="I151">
            <v>217045.45199999999</v>
          </cell>
        </row>
        <row r="152">
          <cell r="C152" t="str">
            <v>a)VËt liÖu</v>
          </cell>
        </row>
        <row r="153">
          <cell r="C153" t="str">
            <v>Cét BTLT 16C</v>
          </cell>
          <cell r="D153" t="str">
            <v>cét</v>
          </cell>
          <cell r="E153">
            <v>1</v>
          </cell>
          <cell r="F153">
            <v>1.002</v>
          </cell>
          <cell r="G153">
            <v>4222000</v>
          </cell>
          <cell r="H153">
            <v>4230444</v>
          </cell>
        </row>
        <row r="154">
          <cell r="B154" t="str">
            <v>05,5213</v>
          </cell>
          <cell r="C154" t="str">
            <v>VËt liÖu phô</v>
          </cell>
          <cell r="D154" t="str">
            <v>cét</v>
          </cell>
          <cell r="E154">
            <v>1</v>
          </cell>
          <cell r="F154">
            <v>1</v>
          </cell>
          <cell r="G154">
            <v>8490</v>
          </cell>
          <cell r="H154">
            <v>8490</v>
          </cell>
        </row>
        <row r="155">
          <cell r="C155" t="str">
            <v>b)Nh©n c«ng</v>
          </cell>
        </row>
        <row r="156">
          <cell r="B156" t="str">
            <v>02,1461</v>
          </cell>
          <cell r="C156" t="str">
            <v>V/c cét 100m</v>
          </cell>
          <cell r="D156" t="str">
            <v>tÊn</v>
          </cell>
          <cell r="E156">
            <v>1.72</v>
          </cell>
          <cell r="F156">
            <v>0.1</v>
          </cell>
          <cell r="G156">
            <v>140241</v>
          </cell>
          <cell r="I156">
            <v>24121.452000000001</v>
          </cell>
        </row>
        <row r="157">
          <cell r="B157" t="str">
            <v>05,5215</v>
          </cell>
          <cell r="C157" t="str">
            <v>Dùng cét</v>
          </cell>
          <cell r="D157" t="str">
            <v>cét</v>
          </cell>
          <cell r="E157">
            <v>1</v>
          </cell>
          <cell r="F157">
            <v>1</v>
          </cell>
          <cell r="G157">
            <v>116844</v>
          </cell>
          <cell r="I157">
            <v>116844</v>
          </cell>
        </row>
        <row r="158">
          <cell r="B158" t="str">
            <v>05.5101</v>
          </cell>
          <cell r="C158" t="str">
            <v>Nèi mÆt bÝch</v>
          </cell>
          <cell r="D158" t="str">
            <v>mèi</v>
          </cell>
          <cell r="E158">
            <v>1</v>
          </cell>
          <cell r="F158">
            <v>1</v>
          </cell>
          <cell r="G158">
            <v>48753</v>
          </cell>
          <cell r="I158">
            <v>48753</v>
          </cell>
        </row>
        <row r="159">
          <cell r="B159" t="str">
            <v>02,1481</v>
          </cell>
          <cell r="C159" t="str">
            <v>V/c dông cô thñ c«ng cét</v>
          </cell>
          <cell r="D159" t="str">
            <v>tÊn</v>
          </cell>
          <cell r="E159">
            <v>1.5</v>
          </cell>
          <cell r="F159">
            <v>0.2</v>
          </cell>
          <cell r="G159">
            <v>91090</v>
          </cell>
          <cell r="I159">
            <v>27327</v>
          </cell>
        </row>
        <row r="161">
          <cell r="B161" t="str">
            <v>16b</v>
          </cell>
          <cell r="C161" t="str">
            <v>Cét BTLT 16B</v>
          </cell>
          <cell r="H161">
            <v>4068594</v>
          </cell>
          <cell r="I161">
            <v>217045.45199999999</v>
          </cell>
        </row>
        <row r="162">
          <cell r="C162" t="str">
            <v>a)VËt liÖu</v>
          </cell>
        </row>
        <row r="163">
          <cell r="C163" t="str">
            <v>Cét BTLT 16B</v>
          </cell>
          <cell r="D163" t="str">
            <v>cét</v>
          </cell>
          <cell r="E163">
            <v>1</v>
          </cell>
          <cell r="F163">
            <v>1.002</v>
          </cell>
          <cell r="G163">
            <v>4052000</v>
          </cell>
          <cell r="H163">
            <v>4060104</v>
          </cell>
        </row>
        <row r="164">
          <cell r="B164" t="str">
            <v>05,5213</v>
          </cell>
          <cell r="C164" t="str">
            <v>VËt liÖu phô</v>
          </cell>
          <cell r="D164" t="str">
            <v>cét</v>
          </cell>
          <cell r="E164">
            <v>1</v>
          </cell>
          <cell r="F164">
            <v>1</v>
          </cell>
          <cell r="G164">
            <v>8490</v>
          </cell>
          <cell r="H164">
            <v>8490</v>
          </cell>
        </row>
        <row r="165">
          <cell r="C165" t="str">
            <v>b)Nh©n c«ng</v>
          </cell>
        </row>
        <row r="166">
          <cell r="B166" t="str">
            <v>02,1461</v>
          </cell>
          <cell r="C166" t="str">
            <v>V/c cét 100m</v>
          </cell>
          <cell r="D166" t="str">
            <v>tÊn</v>
          </cell>
          <cell r="E166">
            <v>1.72</v>
          </cell>
          <cell r="F166">
            <v>0.1</v>
          </cell>
          <cell r="G166">
            <v>140241</v>
          </cell>
          <cell r="I166">
            <v>24121.452000000001</v>
          </cell>
        </row>
        <row r="167">
          <cell r="B167" t="str">
            <v>05,5215</v>
          </cell>
          <cell r="C167" t="str">
            <v>Dùng cét</v>
          </cell>
          <cell r="D167" t="str">
            <v>cét</v>
          </cell>
          <cell r="E167">
            <v>1</v>
          </cell>
          <cell r="F167">
            <v>1</v>
          </cell>
          <cell r="G167">
            <v>116844</v>
          </cell>
          <cell r="I167">
            <v>116844</v>
          </cell>
        </row>
        <row r="168">
          <cell r="B168" t="str">
            <v>05.5101</v>
          </cell>
          <cell r="C168" t="str">
            <v>Nèi mÆt bÝch</v>
          </cell>
          <cell r="D168" t="str">
            <v>mèi</v>
          </cell>
          <cell r="E168">
            <v>1</v>
          </cell>
          <cell r="F168">
            <v>1</v>
          </cell>
          <cell r="G168">
            <v>48753</v>
          </cell>
          <cell r="I168">
            <v>48753</v>
          </cell>
        </row>
        <row r="169">
          <cell r="B169" t="str">
            <v>02,1481</v>
          </cell>
          <cell r="C169" t="str">
            <v>V/c dông cô thñ c«ng cét</v>
          </cell>
          <cell r="D169" t="str">
            <v>tÊn</v>
          </cell>
          <cell r="E169">
            <v>1.5</v>
          </cell>
          <cell r="F169">
            <v>0.2</v>
          </cell>
          <cell r="G169">
            <v>91090</v>
          </cell>
          <cell r="I169">
            <v>27327</v>
          </cell>
        </row>
      </sheetData>
      <sheetData sheetId="18" refreshError="1"/>
      <sheetData sheetId="19" refreshError="1"/>
      <sheetData sheetId="20" refreshError="1">
        <row r="8">
          <cell r="C8" t="str">
            <v>Bª t«ng M50</v>
          </cell>
          <cell r="H8">
            <v>193264.77499999999</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4">
          <cell r="C14" t="str">
            <v>Bª t«ng M 150</v>
          </cell>
          <cell r="H14">
            <v>283488.34999999998</v>
          </cell>
        </row>
        <row r="15">
          <cell r="C15" t="str">
            <v>a. VËt liÖu</v>
          </cell>
        </row>
        <row r="16">
          <cell r="B16" t="str">
            <v xml:space="preserve">§GtØnh </v>
          </cell>
          <cell r="C16" t="str">
            <v>Xi m¨ng PC30</v>
          </cell>
          <cell r="D16" t="str">
            <v>kg</v>
          </cell>
          <cell r="E16" t="str">
            <v>278</v>
          </cell>
          <cell r="F16">
            <v>1.0249999999999999</v>
          </cell>
          <cell r="G16">
            <v>643</v>
          </cell>
          <cell r="H16">
            <v>183222.85</v>
          </cell>
        </row>
        <row r="17">
          <cell r="B17" t="str">
            <v xml:space="preserve">§GtØnh </v>
          </cell>
          <cell r="C17" t="str">
            <v>C¸t vµng</v>
          </cell>
          <cell r="D17" t="str">
            <v>m3</v>
          </cell>
          <cell r="E17" t="str">
            <v>0,469</v>
          </cell>
          <cell r="F17">
            <v>1.0249999999999999</v>
          </cell>
          <cell r="G17">
            <v>34000</v>
          </cell>
          <cell r="H17">
            <v>16344.649999999996</v>
          </cell>
        </row>
        <row r="18">
          <cell r="B18" t="str">
            <v xml:space="preserve">§GtØnh </v>
          </cell>
          <cell r="C18" t="str">
            <v>§¸ d¨m 2 x 4</v>
          </cell>
          <cell r="D18" t="str">
            <v>m3</v>
          </cell>
          <cell r="E18" t="str">
            <v>0,871</v>
          </cell>
          <cell r="F18">
            <v>1.0249999999999999</v>
          </cell>
          <cell r="G18">
            <v>94000</v>
          </cell>
          <cell r="H18">
            <v>83920.849999999991</v>
          </cell>
        </row>
        <row r="20">
          <cell r="C20" t="str">
            <v>Bª t«ng M 200</v>
          </cell>
          <cell r="H20">
            <v>336640.75</v>
          </cell>
        </row>
        <row r="21">
          <cell r="C21" t="str">
            <v>a. VËt liÖu</v>
          </cell>
        </row>
        <row r="22">
          <cell r="B22" t="str">
            <v xml:space="preserve">§GtØnh </v>
          </cell>
          <cell r="C22" t="str">
            <v>Xi m¨ng PC30</v>
          </cell>
          <cell r="D22" t="str">
            <v>kg</v>
          </cell>
          <cell r="E22" t="str">
            <v>357</v>
          </cell>
          <cell r="F22">
            <v>1.0249999999999999</v>
          </cell>
          <cell r="G22">
            <v>643</v>
          </cell>
          <cell r="H22">
            <v>235289.77499999997</v>
          </cell>
        </row>
        <row r="23">
          <cell r="B23" t="str">
            <v xml:space="preserve">§GtØnh </v>
          </cell>
          <cell r="C23" t="str">
            <v>C¸t vµng</v>
          </cell>
          <cell r="D23" t="str">
            <v>m3</v>
          </cell>
          <cell r="E23" t="str">
            <v>0,441</v>
          </cell>
          <cell r="F23">
            <v>1.0249999999999999</v>
          </cell>
          <cell r="G23">
            <v>34000</v>
          </cell>
          <cell r="H23">
            <v>15368.849999999999</v>
          </cell>
        </row>
        <row r="24">
          <cell r="B24" t="str">
            <v xml:space="preserve">§GtØnh </v>
          </cell>
          <cell r="C24" t="str">
            <v>§¸ d¨m  1 x2</v>
          </cell>
          <cell r="D24" t="str">
            <v>m3</v>
          </cell>
          <cell r="E24" t="str">
            <v>0,883</v>
          </cell>
          <cell r="F24">
            <v>1.0249999999999999</v>
          </cell>
          <cell r="G24">
            <v>95000</v>
          </cell>
          <cell r="H24">
            <v>85982.125</v>
          </cell>
        </row>
        <row r="26">
          <cell r="B26" t="str">
            <v>MT4</v>
          </cell>
          <cell r="C26" t="str">
            <v>Mãng MT4</v>
          </cell>
          <cell r="H26">
            <v>905276.03350000002</v>
          </cell>
          <cell r="I26">
            <v>1084181.74</v>
          </cell>
        </row>
        <row r="27">
          <cell r="C27" t="str">
            <v>a)VËt liÖu</v>
          </cell>
        </row>
        <row r="28">
          <cell r="C28" t="str">
            <v>S¾t F6</v>
          </cell>
          <cell r="D28" t="str">
            <v>kg</v>
          </cell>
          <cell r="E28">
            <v>3.6</v>
          </cell>
          <cell r="F28">
            <v>1.02</v>
          </cell>
          <cell r="G28">
            <v>4320</v>
          </cell>
          <cell r="H28">
            <v>15863.04</v>
          </cell>
        </row>
        <row r="29">
          <cell r="C29" t="str">
            <v>S¾t F8</v>
          </cell>
          <cell r="D29" t="str">
            <v>kg</v>
          </cell>
          <cell r="E29">
            <v>4.8</v>
          </cell>
          <cell r="F29">
            <v>1.02</v>
          </cell>
          <cell r="G29">
            <v>4320</v>
          </cell>
          <cell r="H29">
            <v>21150.720000000001</v>
          </cell>
        </row>
        <row r="30">
          <cell r="C30" t="str">
            <v>S¾t F10</v>
          </cell>
          <cell r="D30" t="str">
            <v>kg</v>
          </cell>
          <cell r="E30">
            <v>5.6</v>
          </cell>
          <cell r="F30">
            <v>1.02</v>
          </cell>
          <cell r="G30">
            <v>4200</v>
          </cell>
          <cell r="H30">
            <v>23990.399999999998</v>
          </cell>
        </row>
        <row r="31">
          <cell r="C31" t="str">
            <v>Bª t«ng M200</v>
          </cell>
          <cell r="D31" t="str">
            <v>m3</v>
          </cell>
          <cell r="E31">
            <v>0.08</v>
          </cell>
          <cell r="F31">
            <v>1</v>
          </cell>
          <cell r="G31">
            <v>336640.75</v>
          </cell>
          <cell r="H31">
            <v>26931.260000000002</v>
          </cell>
        </row>
        <row r="32">
          <cell r="C32" t="str">
            <v>Bª t«ng M150</v>
          </cell>
          <cell r="D32" t="str">
            <v>m3</v>
          </cell>
          <cell r="E32">
            <v>1.59</v>
          </cell>
          <cell r="F32">
            <v>1</v>
          </cell>
          <cell r="G32">
            <v>283488.34999999998</v>
          </cell>
          <cell r="H32">
            <v>450746.47649999999</v>
          </cell>
        </row>
        <row r="33">
          <cell r="C33" t="str">
            <v>Bª t«ng M 50</v>
          </cell>
          <cell r="D33" t="str">
            <v>m3</v>
          </cell>
          <cell r="E33">
            <v>0.28000000000000003</v>
          </cell>
          <cell r="F33">
            <v>1</v>
          </cell>
          <cell r="G33">
            <v>193264.77499999999</v>
          </cell>
          <cell r="H33">
            <v>54114.137000000002</v>
          </cell>
        </row>
        <row r="34">
          <cell r="C34" t="str">
            <v>Gç v¸n khu«n cÇu c«ng t¸c</v>
          </cell>
          <cell r="D34" t="str">
            <v>m2</v>
          </cell>
          <cell r="E34">
            <v>16.8</v>
          </cell>
          <cell r="F34">
            <v>1</v>
          </cell>
          <cell r="G34">
            <v>18600</v>
          </cell>
          <cell r="H34">
            <v>312480</v>
          </cell>
        </row>
        <row r="35">
          <cell r="C35" t="str">
            <v xml:space="preserve">b) Nh©n c«ng </v>
          </cell>
        </row>
        <row r="36">
          <cell r="C36" t="str">
            <v>Gia c«ng</v>
          </cell>
          <cell r="D36" t="str">
            <v>kg</v>
          </cell>
          <cell r="E36">
            <v>14</v>
          </cell>
          <cell r="F36">
            <v>1</v>
          </cell>
          <cell r="G36">
            <v>3456</v>
          </cell>
          <cell r="I36">
            <v>48384</v>
          </cell>
        </row>
        <row r="37">
          <cell r="C37" t="str">
            <v>L¾p dùng v¸n khu«n</v>
          </cell>
          <cell r="D37" t="str">
            <v>m2</v>
          </cell>
          <cell r="E37">
            <v>16.8</v>
          </cell>
          <cell r="F37">
            <v>1</v>
          </cell>
          <cell r="G37">
            <v>5309</v>
          </cell>
          <cell r="I37">
            <v>89191.2</v>
          </cell>
        </row>
        <row r="38">
          <cell r="B38" t="str">
            <v>03.1113</v>
          </cell>
          <cell r="C38" t="str">
            <v>§µo hè ®Êt mãng</v>
          </cell>
          <cell r="D38" t="str">
            <v>m3</v>
          </cell>
          <cell r="E38">
            <v>24.68</v>
          </cell>
          <cell r="F38">
            <v>1</v>
          </cell>
          <cell r="G38">
            <v>24428</v>
          </cell>
          <cell r="I38">
            <v>602883.04</v>
          </cell>
        </row>
        <row r="39">
          <cell r="B39" t="str">
            <v>04.3311</v>
          </cell>
          <cell r="C39" t="str">
            <v>§æ bª t«ng M200</v>
          </cell>
          <cell r="D39" t="str">
            <v>m3</v>
          </cell>
          <cell r="E39">
            <v>0.08</v>
          </cell>
          <cell r="F39">
            <v>1</v>
          </cell>
          <cell r="G39">
            <v>45030</v>
          </cell>
          <cell r="I39">
            <v>3602.4</v>
          </cell>
        </row>
        <row r="40">
          <cell r="B40" t="str">
            <v>04.3311</v>
          </cell>
          <cell r="C40" t="str">
            <v>§æ bª t«ng M 150</v>
          </cell>
          <cell r="D40" t="str">
            <v>m3</v>
          </cell>
          <cell r="E40">
            <v>1.59</v>
          </cell>
          <cell r="F40">
            <v>1</v>
          </cell>
          <cell r="G40">
            <v>45030</v>
          </cell>
          <cell r="I40">
            <v>71597.7</v>
          </cell>
        </row>
        <row r="41">
          <cell r="B41" t="str">
            <v>04.3311</v>
          </cell>
          <cell r="C41" t="str">
            <v>§æ bª t«ng lãt mãng</v>
          </cell>
          <cell r="D41" t="str">
            <v>m3</v>
          </cell>
          <cell r="E41" t="str">
            <v>0,28</v>
          </cell>
          <cell r="F41">
            <v>1</v>
          </cell>
          <cell r="G41">
            <v>45030</v>
          </cell>
          <cell r="I41">
            <v>12608.400000000001</v>
          </cell>
        </row>
        <row r="42">
          <cell r="B42" t="str">
            <v>03.2203</v>
          </cell>
          <cell r="C42" t="str">
            <v>LÊp ®Êt hè mãng</v>
          </cell>
          <cell r="D42" t="str">
            <v>m3</v>
          </cell>
          <cell r="E42">
            <v>22.73</v>
          </cell>
          <cell r="F42">
            <v>1</v>
          </cell>
          <cell r="G42">
            <v>10890</v>
          </cell>
          <cell r="I42">
            <v>247529.7</v>
          </cell>
        </row>
        <row r="43">
          <cell r="B43" t="str">
            <v>03.2203</v>
          </cell>
          <cell r="C43" t="str">
            <v>§¾p ®Êt hè mãng</v>
          </cell>
          <cell r="D43" t="str">
            <v>m3</v>
          </cell>
          <cell r="E43">
            <v>0.77</v>
          </cell>
          <cell r="F43">
            <v>1</v>
          </cell>
          <cell r="G43">
            <v>10890</v>
          </cell>
          <cell r="I43">
            <v>8385.3000000000011</v>
          </cell>
        </row>
        <row r="45">
          <cell r="B45" t="str">
            <v>14b</v>
          </cell>
          <cell r="C45" t="str">
            <v>Cét BTLT 14b</v>
          </cell>
          <cell r="H45">
            <v>3769998</v>
          </cell>
          <cell r="I45">
            <v>136344.0533</v>
          </cell>
        </row>
        <row r="46">
          <cell r="C46" t="str">
            <v>a)VËt liÖu</v>
          </cell>
        </row>
        <row r="47">
          <cell r="C47" t="str">
            <v>Cét BTLT 14b</v>
          </cell>
          <cell r="D47" t="str">
            <v>cét</v>
          </cell>
          <cell r="E47">
            <v>1</v>
          </cell>
          <cell r="F47">
            <v>1.002</v>
          </cell>
          <cell r="G47">
            <v>3754000</v>
          </cell>
          <cell r="H47">
            <v>3761508</v>
          </cell>
        </row>
        <row r="48">
          <cell r="B48" t="str">
            <v>05,5213</v>
          </cell>
          <cell r="C48" t="str">
            <v>VËt liÖu phô</v>
          </cell>
          <cell r="D48" t="str">
            <v>cét</v>
          </cell>
          <cell r="E48">
            <v>1</v>
          </cell>
          <cell r="F48">
            <v>1</v>
          </cell>
          <cell r="G48">
            <v>8490</v>
          </cell>
          <cell r="H48">
            <v>8490</v>
          </cell>
        </row>
        <row r="49">
          <cell r="C49" t="str">
            <v>b)Nh©n c«ng</v>
          </cell>
        </row>
        <row r="50">
          <cell r="B50" t="str">
            <v>02,1461</v>
          </cell>
          <cell r="C50" t="str">
            <v>V/c cét 100m</v>
          </cell>
          <cell r="D50" t="str">
            <v>tÊn</v>
          </cell>
          <cell r="E50">
            <v>1.413</v>
          </cell>
          <cell r="F50">
            <v>0.1</v>
          </cell>
          <cell r="G50">
            <v>140241</v>
          </cell>
          <cell r="I50">
            <v>19816.0533</v>
          </cell>
        </row>
        <row r="51">
          <cell r="B51" t="str">
            <v>02,1482</v>
          </cell>
          <cell r="C51" t="str">
            <v>V/c dông cô thñ c«ng cét</v>
          </cell>
          <cell r="D51" t="str">
            <v>tÊn</v>
          </cell>
          <cell r="E51">
            <v>1</v>
          </cell>
          <cell r="F51">
            <v>0.1</v>
          </cell>
          <cell r="G51">
            <v>91090</v>
          </cell>
          <cell r="I51">
            <v>9109</v>
          </cell>
        </row>
        <row r="52">
          <cell r="B52" t="str">
            <v>05.5213</v>
          </cell>
          <cell r="C52" t="str">
            <v>Dùng cét</v>
          </cell>
          <cell r="D52" t="str">
            <v xml:space="preserve">c¸i </v>
          </cell>
          <cell r="E52">
            <v>1</v>
          </cell>
          <cell r="F52">
            <v>1</v>
          </cell>
          <cell r="G52">
            <v>107419</v>
          </cell>
          <cell r="I52">
            <v>107419</v>
          </cell>
        </row>
      </sheetData>
      <sheetData sheetId="21" refreshError="1"/>
      <sheetData sheetId="22" refreshError="1"/>
      <sheetData sheetId="23" refreshError="1">
        <row r="7">
          <cell r="B7" t="str">
            <v>Bª t«ng M100</v>
          </cell>
          <cell r="G7">
            <v>216662.44999999998</v>
          </cell>
          <cell r="H7">
            <v>14579.544099999999</v>
          </cell>
        </row>
        <row r="8">
          <cell r="B8" t="str">
            <v>a. VËt liÖu</v>
          </cell>
        </row>
        <row r="9">
          <cell r="A9" t="str">
            <v xml:space="preserve">§GtØnh </v>
          </cell>
          <cell r="B9" t="str">
            <v>Xi m¨ng PC30</v>
          </cell>
          <cell r="C9" t="str">
            <v>kg</v>
          </cell>
          <cell r="D9">
            <v>205</v>
          </cell>
          <cell r="E9">
            <v>1.0249999999999999</v>
          </cell>
          <cell r="F9">
            <v>643</v>
          </cell>
          <cell r="G9">
            <v>135110.37499999997</v>
          </cell>
        </row>
        <row r="10">
          <cell r="A10" t="str">
            <v xml:space="preserve">§GtØnh </v>
          </cell>
          <cell r="B10" t="str">
            <v>C¸t vµng</v>
          </cell>
          <cell r="C10" t="str">
            <v>m3</v>
          </cell>
          <cell r="D10">
            <v>0.49199999999999999</v>
          </cell>
          <cell r="E10">
            <v>1.0249999999999999</v>
          </cell>
          <cell r="F10">
            <v>34000</v>
          </cell>
          <cell r="G10">
            <v>17146.2</v>
          </cell>
        </row>
        <row r="11">
          <cell r="A11" t="str">
            <v xml:space="preserve">§GtØnh </v>
          </cell>
          <cell r="B11" t="str">
            <v>§¸ d¨m 4x6</v>
          </cell>
          <cell r="C11" t="str">
            <v>m3</v>
          </cell>
          <cell r="D11">
            <v>0.88500000000000001</v>
          </cell>
          <cell r="E11">
            <v>1.0249999999999999</v>
          </cell>
          <cell r="F11">
            <v>71000</v>
          </cell>
          <cell r="G11">
            <v>64405.875</v>
          </cell>
        </row>
        <row r="12">
          <cell r="B12" t="str">
            <v>b. Nh©n c«ng ( cù ly vËn chuyÓn 100m)</v>
          </cell>
        </row>
        <row r="13">
          <cell r="A13" t="str">
            <v>02-1211</v>
          </cell>
          <cell r="B13" t="str">
            <v>VËn chuyÓn xi m¨ng</v>
          </cell>
          <cell r="C13" t="str">
            <v>m3</v>
          </cell>
          <cell r="D13">
            <v>0.20499999999999999</v>
          </cell>
          <cell r="E13">
            <v>0.1</v>
          </cell>
          <cell r="F13">
            <v>74756</v>
          </cell>
          <cell r="H13">
            <v>1532.498</v>
          </cell>
        </row>
        <row r="14">
          <cell r="A14" t="str">
            <v>02-1231</v>
          </cell>
          <cell r="B14" t="str">
            <v>VËn chuyÓn c¸t vµng</v>
          </cell>
          <cell r="C14" t="str">
            <v>m3</v>
          </cell>
          <cell r="D14">
            <v>0.49199999999999999</v>
          </cell>
          <cell r="E14">
            <v>0.1</v>
          </cell>
          <cell r="F14">
            <v>69458</v>
          </cell>
          <cell r="H14">
            <v>3417.3335999999999</v>
          </cell>
        </row>
        <row r="15">
          <cell r="A15" t="str">
            <v>02-1241</v>
          </cell>
          <cell r="B15" t="str">
            <v>VËn chuyÓn ®¸ d¨m</v>
          </cell>
          <cell r="C15" t="str">
            <v>m3</v>
          </cell>
          <cell r="D15">
            <v>0.88500000000000001</v>
          </cell>
          <cell r="E15">
            <v>0.1</v>
          </cell>
          <cell r="F15">
            <v>73725</v>
          </cell>
          <cell r="H15">
            <v>6524.6625000000004</v>
          </cell>
        </row>
        <row r="16">
          <cell r="A16" t="str">
            <v>02-1321</v>
          </cell>
          <cell r="B16" t="str">
            <v>VËn chuyÓn n­íc</v>
          </cell>
          <cell r="C16" t="str">
            <v>m3</v>
          </cell>
          <cell r="D16">
            <v>0.5</v>
          </cell>
          <cell r="E16">
            <v>0.1</v>
          </cell>
          <cell r="F16">
            <v>62101</v>
          </cell>
          <cell r="H16">
            <v>3105.05</v>
          </cell>
        </row>
        <row r="18">
          <cell r="B18" t="str">
            <v>Bª t«ng M 150</v>
          </cell>
          <cell r="G18">
            <v>283488.34999999998</v>
          </cell>
          <cell r="H18">
            <v>14862.2945</v>
          </cell>
        </row>
        <row r="19">
          <cell r="B19" t="str">
            <v>a. VËt liÖu</v>
          </cell>
        </row>
        <row r="20">
          <cell r="A20" t="str">
            <v xml:space="preserve">§GtØnh </v>
          </cell>
          <cell r="B20" t="str">
            <v>Xi m¨ng PC30</v>
          </cell>
          <cell r="C20" t="str">
            <v>kg</v>
          </cell>
          <cell r="D20" t="str">
            <v>278</v>
          </cell>
          <cell r="E20">
            <v>1.0249999999999999</v>
          </cell>
          <cell r="F20">
            <v>643</v>
          </cell>
          <cell r="G20">
            <v>183222.85</v>
          </cell>
        </row>
        <row r="21">
          <cell r="A21" t="str">
            <v xml:space="preserve">§GtØnh </v>
          </cell>
          <cell r="B21" t="str">
            <v>C¸t vµng</v>
          </cell>
          <cell r="C21" t="str">
            <v>m3</v>
          </cell>
          <cell r="D21" t="str">
            <v>0,469</v>
          </cell>
          <cell r="E21">
            <v>1.0249999999999999</v>
          </cell>
          <cell r="F21">
            <v>34000</v>
          </cell>
          <cell r="G21">
            <v>16344.649999999996</v>
          </cell>
        </row>
        <row r="22">
          <cell r="A22" t="str">
            <v xml:space="preserve">§GtØnh </v>
          </cell>
          <cell r="B22" t="str">
            <v>§¸ d¨m 2 x 4</v>
          </cell>
          <cell r="C22" t="str">
            <v>m3</v>
          </cell>
          <cell r="D22" t="str">
            <v>0,871</v>
          </cell>
          <cell r="E22">
            <v>1.0249999999999999</v>
          </cell>
          <cell r="F22">
            <v>94000</v>
          </cell>
          <cell r="G22">
            <v>83920.849999999991</v>
          </cell>
        </row>
        <row r="23">
          <cell r="B23" t="str">
            <v>b. Nh©n c«ng ( cù ly vËn chuyÓn 100m)</v>
          </cell>
        </row>
        <row r="24">
          <cell r="A24" t="str">
            <v>02-1211</v>
          </cell>
          <cell r="B24" t="str">
            <v>VËn chuyÓn xi m¨ng</v>
          </cell>
          <cell r="C24" t="str">
            <v>m3</v>
          </cell>
          <cell r="D24">
            <v>0.27800000000000002</v>
          </cell>
          <cell r="E24">
            <v>0.1</v>
          </cell>
          <cell r="F24">
            <v>74756</v>
          </cell>
          <cell r="H24">
            <v>2078.2168000000001</v>
          </cell>
        </row>
        <row r="25">
          <cell r="A25" t="str">
            <v>02-1231</v>
          </cell>
          <cell r="B25" t="str">
            <v>VËn chuyÓn c¸t vµng</v>
          </cell>
          <cell r="C25" t="str">
            <v>m3</v>
          </cell>
          <cell r="D25" t="str">
            <v>0,469</v>
          </cell>
          <cell r="E25">
            <v>0.1</v>
          </cell>
          <cell r="F25">
            <v>69458</v>
          </cell>
          <cell r="H25">
            <v>3257.5801999999999</v>
          </cell>
        </row>
        <row r="26">
          <cell r="A26" t="str">
            <v>02-1241</v>
          </cell>
          <cell r="B26" t="str">
            <v>VËn chuyÓn ®¸ d¨m</v>
          </cell>
          <cell r="C26" t="str">
            <v>m3</v>
          </cell>
          <cell r="D26" t="str">
            <v>0,871</v>
          </cell>
          <cell r="E26">
            <v>0.1</v>
          </cell>
          <cell r="F26">
            <v>73725</v>
          </cell>
          <cell r="H26">
            <v>6421.4475000000002</v>
          </cell>
        </row>
        <row r="27">
          <cell r="A27" t="str">
            <v>02-1321</v>
          </cell>
          <cell r="B27" t="str">
            <v>VËn chuyÓn n­íc</v>
          </cell>
          <cell r="C27" t="str">
            <v>m3</v>
          </cell>
          <cell r="D27">
            <v>0.5</v>
          </cell>
          <cell r="E27">
            <v>0.1</v>
          </cell>
          <cell r="F27">
            <v>62101</v>
          </cell>
          <cell r="H27">
            <v>3105.05</v>
          </cell>
        </row>
        <row r="29">
          <cell r="A29" t="str">
            <v>m1</v>
          </cell>
          <cell r="B29" t="str">
            <v>Mãng M1</v>
          </cell>
          <cell r="G29">
            <v>266494.81349999993</v>
          </cell>
          <cell r="H29">
            <v>102871.44792000001</v>
          </cell>
        </row>
        <row r="30">
          <cell r="B30" t="str">
            <v>a)VËt liÖu</v>
          </cell>
        </row>
        <row r="31">
          <cell r="B31" t="str">
            <v>Bª t«ng M100</v>
          </cell>
          <cell r="C31" t="str">
            <v>m3</v>
          </cell>
          <cell r="D31">
            <v>1.2</v>
          </cell>
          <cell r="E31">
            <v>1.0249999999999999</v>
          </cell>
          <cell r="F31">
            <v>216662.44999999998</v>
          </cell>
          <cell r="G31">
            <v>266494.81349999993</v>
          </cell>
        </row>
        <row r="32">
          <cell r="B32" t="str">
            <v xml:space="preserve">b) Nh©n c«ng </v>
          </cell>
        </row>
        <row r="33">
          <cell r="A33" t="str">
            <v>03,1113</v>
          </cell>
          <cell r="B33" t="str">
            <v>§µo ®Êt hè mãng ®Êt cÊp 3</v>
          </cell>
          <cell r="C33" t="str">
            <v>m3</v>
          </cell>
          <cell r="D33">
            <v>1.2</v>
          </cell>
          <cell r="E33">
            <v>1</v>
          </cell>
          <cell r="F33">
            <v>24428</v>
          </cell>
          <cell r="H33">
            <v>29313.599999999999</v>
          </cell>
        </row>
        <row r="34">
          <cell r="A34" t="str">
            <v>03,2203</v>
          </cell>
          <cell r="B34" t="str">
            <v>LÊp ®Êt hè mãng</v>
          </cell>
          <cell r="C34" t="str">
            <v>m3</v>
          </cell>
          <cell r="D34">
            <v>0.12</v>
          </cell>
          <cell r="E34">
            <v>1</v>
          </cell>
          <cell r="F34">
            <v>10890</v>
          </cell>
          <cell r="H34">
            <v>1306.8</v>
          </cell>
        </row>
        <row r="35">
          <cell r="B35" t="str">
            <v>VËn chuyÓn bª t«ng</v>
          </cell>
          <cell r="C35" t="str">
            <v>m3</v>
          </cell>
          <cell r="D35">
            <v>1.2</v>
          </cell>
          <cell r="E35">
            <v>1</v>
          </cell>
          <cell r="F35">
            <v>14579.544099999999</v>
          </cell>
          <cell r="H35">
            <v>17495.45292</v>
          </cell>
        </row>
        <row r="36">
          <cell r="A36" t="str">
            <v>ChiÕt tÝnh</v>
          </cell>
          <cell r="B36" t="str">
            <v>§æ bª t«ng M100</v>
          </cell>
          <cell r="C36" t="str">
            <v>m3</v>
          </cell>
          <cell r="D36">
            <v>1.2</v>
          </cell>
          <cell r="E36">
            <v>1</v>
          </cell>
          <cell r="F36">
            <v>45030</v>
          </cell>
          <cell r="H36">
            <v>54036</v>
          </cell>
        </row>
        <row r="37">
          <cell r="A37" t="str">
            <v>02.1741</v>
          </cell>
          <cell r="B37" t="str">
            <v>V/c dông cô thi c«ng</v>
          </cell>
          <cell r="C37" t="str">
            <v>tÊn</v>
          </cell>
          <cell r="D37">
            <v>0.05</v>
          </cell>
          <cell r="E37">
            <v>0.15</v>
          </cell>
          <cell r="F37">
            <v>95946</v>
          </cell>
          <cell r="H37">
            <v>719.59500000000003</v>
          </cell>
        </row>
        <row r="39">
          <cell r="A39" t="str">
            <v>m1a</v>
          </cell>
          <cell r="B39" t="str">
            <v>Mãng M1a</v>
          </cell>
          <cell r="G39">
            <v>388638.26968749991</v>
          </cell>
          <cell r="H39">
            <v>148852.23217500001</v>
          </cell>
        </row>
        <row r="40">
          <cell r="B40" t="str">
            <v>a)VËt liÖu</v>
          </cell>
        </row>
        <row r="41">
          <cell r="B41" t="str">
            <v>Bª t«ng M100</v>
          </cell>
          <cell r="C41" t="str">
            <v>m3</v>
          </cell>
          <cell r="D41">
            <v>1.75</v>
          </cell>
          <cell r="E41">
            <v>1.0249999999999999</v>
          </cell>
          <cell r="F41">
            <v>216662.44999999998</v>
          </cell>
          <cell r="G41">
            <v>388638.26968749991</v>
          </cell>
        </row>
        <row r="42">
          <cell r="B42" t="str">
            <v xml:space="preserve">b) Nh©n c«ng </v>
          </cell>
        </row>
        <row r="43">
          <cell r="A43" t="str">
            <v>03,1113</v>
          </cell>
          <cell r="B43" t="str">
            <v>§µo ®Êt hè mãng ®Êt cÊp 3</v>
          </cell>
          <cell r="C43" t="str">
            <v>m3</v>
          </cell>
          <cell r="D43">
            <v>1.75</v>
          </cell>
          <cell r="E43">
            <v>1</v>
          </cell>
          <cell r="F43">
            <v>24428</v>
          </cell>
          <cell r="H43">
            <v>42749</v>
          </cell>
        </row>
        <row r="44">
          <cell r="A44" t="str">
            <v>03,2203</v>
          </cell>
          <cell r="B44" t="str">
            <v>LÊp ®Êt hè mãng</v>
          </cell>
          <cell r="C44" t="str">
            <v>m3</v>
          </cell>
          <cell r="D44">
            <v>0.12</v>
          </cell>
          <cell r="E44">
            <v>1</v>
          </cell>
          <cell r="F44">
            <v>10890</v>
          </cell>
          <cell r="H44">
            <v>1306.8</v>
          </cell>
        </row>
        <row r="45">
          <cell r="B45" t="str">
            <v>VËn chuyÓn bª t«ng</v>
          </cell>
          <cell r="C45" t="str">
            <v>m3</v>
          </cell>
          <cell r="D45">
            <v>1.75</v>
          </cell>
          <cell r="E45">
            <v>1</v>
          </cell>
          <cell r="F45">
            <v>14579.544099999999</v>
          </cell>
          <cell r="H45">
            <v>25514.202174999999</v>
          </cell>
        </row>
        <row r="46">
          <cell r="A46" t="str">
            <v>ChiÕt tÝnh</v>
          </cell>
          <cell r="B46" t="str">
            <v>§æ bª t«ng M100</v>
          </cell>
          <cell r="C46" t="str">
            <v>m3</v>
          </cell>
          <cell r="D46">
            <v>1.75</v>
          </cell>
          <cell r="E46">
            <v>1</v>
          </cell>
          <cell r="F46">
            <v>45030</v>
          </cell>
          <cell r="H46">
            <v>78802.5</v>
          </cell>
        </row>
        <row r="47">
          <cell r="A47" t="str">
            <v>02.1741</v>
          </cell>
          <cell r="B47" t="str">
            <v>V/c dông cô thi c«ng</v>
          </cell>
          <cell r="C47" t="str">
            <v>tÊn</v>
          </cell>
          <cell r="D47">
            <v>0.05</v>
          </cell>
          <cell r="E47">
            <v>0.1</v>
          </cell>
          <cell r="F47">
            <v>95946</v>
          </cell>
          <cell r="H47">
            <v>479.73</v>
          </cell>
        </row>
        <row r="49">
          <cell r="A49" t="str">
            <v>m2</v>
          </cell>
          <cell r="B49" t="str">
            <v>Mãng M2</v>
          </cell>
          <cell r="G49">
            <v>444158.0224999999</v>
          </cell>
          <cell r="H49">
            <v>169861.6182</v>
          </cell>
        </row>
        <row r="50">
          <cell r="B50" t="str">
            <v>a)VËt liÖu</v>
          </cell>
        </row>
        <row r="51">
          <cell r="B51" t="str">
            <v>Bª t«ng M100</v>
          </cell>
          <cell r="C51" t="str">
            <v>m3</v>
          </cell>
          <cell r="D51">
            <v>2</v>
          </cell>
          <cell r="E51">
            <v>1.0249999999999999</v>
          </cell>
          <cell r="F51">
            <v>216662.44999999998</v>
          </cell>
          <cell r="G51">
            <v>444158.0224999999</v>
          </cell>
        </row>
        <row r="52">
          <cell r="B52" t="str">
            <v xml:space="preserve">b) Nh©n c«ng </v>
          </cell>
        </row>
        <row r="53">
          <cell r="A53" t="str">
            <v>03,1113</v>
          </cell>
          <cell r="B53" t="str">
            <v>§µo ®Êt hè mãng ®Êt cÊp 3</v>
          </cell>
          <cell r="C53" t="str">
            <v>m3</v>
          </cell>
          <cell r="D53">
            <v>2</v>
          </cell>
          <cell r="E53">
            <v>1</v>
          </cell>
          <cell r="F53">
            <v>24428</v>
          </cell>
          <cell r="H53">
            <v>48856</v>
          </cell>
        </row>
        <row r="54">
          <cell r="A54" t="str">
            <v>03,2203</v>
          </cell>
          <cell r="B54" t="str">
            <v>LÊp ®Êt hè mãng</v>
          </cell>
          <cell r="C54" t="str">
            <v>m3</v>
          </cell>
          <cell r="D54">
            <v>0.12</v>
          </cell>
          <cell r="E54">
            <v>1</v>
          </cell>
          <cell r="F54">
            <v>10890</v>
          </cell>
          <cell r="H54">
            <v>1306.8</v>
          </cell>
        </row>
        <row r="55">
          <cell r="B55" t="str">
            <v>VËn chuyÓn bª t«ng</v>
          </cell>
          <cell r="C55" t="str">
            <v>m3</v>
          </cell>
          <cell r="D55">
            <v>2</v>
          </cell>
          <cell r="E55">
            <v>1</v>
          </cell>
          <cell r="F55">
            <v>14579.544099999999</v>
          </cell>
          <cell r="H55">
            <v>29159.088199999998</v>
          </cell>
        </row>
        <row r="56">
          <cell r="A56" t="str">
            <v>ChiÕt tÝnh</v>
          </cell>
          <cell r="B56" t="str">
            <v>§æ bª t«ng M100</v>
          </cell>
          <cell r="C56" t="str">
            <v>m3</v>
          </cell>
          <cell r="D56">
            <v>2</v>
          </cell>
          <cell r="E56">
            <v>1</v>
          </cell>
          <cell r="F56">
            <v>45030</v>
          </cell>
          <cell r="H56">
            <v>90060</v>
          </cell>
        </row>
        <row r="57">
          <cell r="A57" t="str">
            <v>02.1741</v>
          </cell>
          <cell r="B57" t="str">
            <v>V/c dông cô thi c«ng</v>
          </cell>
          <cell r="C57" t="str">
            <v>tÊn</v>
          </cell>
          <cell r="D57">
            <v>0.05</v>
          </cell>
          <cell r="E57">
            <v>0.1</v>
          </cell>
          <cell r="F57">
            <v>95946</v>
          </cell>
          <cell r="H57">
            <v>479.73</v>
          </cell>
        </row>
        <row r="59">
          <cell r="A59" t="str">
            <v>8,5a</v>
          </cell>
          <cell r="B59" t="str">
            <v>Cét ®iÖn 8,5a</v>
          </cell>
          <cell r="G59">
            <v>569610</v>
          </cell>
          <cell r="H59">
            <v>101634.485</v>
          </cell>
        </row>
        <row r="60">
          <cell r="B60" t="str">
            <v>a)VËt liÖu</v>
          </cell>
        </row>
        <row r="61">
          <cell r="B61" t="str">
            <v>Cét ®iÖn 8,5a</v>
          </cell>
          <cell r="C61" t="str">
            <v>cét</v>
          </cell>
          <cell r="D61">
            <v>1</v>
          </cell>
          <cell r="E61">
            <v>1.002</v>
          </cell>
          <cell r="F61">
            <v>560000</v>
          </cell>
          <cell r="G61">
            <v>561120</v>
          </cell>
        </row>
        <row r="62">
          <cell r="A62" t="str">
            <v>05,5211</v>
          </cell>
          <cell r="B62" t="str">
            <v>VËt liÖu phô</v>
          </cell>
          <cell r="C62" t="str">
            <v>cét</v>
          </cell>
          <cell r="D62">
            <v>1</v>
          </cell>
          <cell r="E62">
            <v>1</v>
          </cell>
          <cell r="F62">
            <v>8490</v>
          </cell>
          <cell r="G62">
            <v>8490</v>
          </cell>
        </row>
        <row r="63">
          <cell r="B63" t="str">
            <v>b)Nh©n c«ng</v>
          </cell>
          <cell r="H63">
            <v>0</v>
          </cell>
        </row>
        <row r="64">
          <cell r="A64" t="str">
            <v>02,1461</v>
          </cell>
          <cell r="B64" t="str">
            <v>V/c cét 100m</v>
          </cell>
          <cell r="C64" t="str">
            <v>tÊn</v>
          </cell>
          <cell r="D64">
            <v>0.85</v>
          </cell>
          <cell r="E64">
            <v>0.1</v>
          </cell>
          <cell r="F64">
            <v>140241</v>
          </cell>
          <cell r="H64">
            <v>11920.485000000001</v>
          </cell>
        </row>
        <row r="65">
          <cell r="A65" t="str">
            <v>02,1481</v>
          </cell>
          <cell r="B65" t="str">
            <v>V/c dông cô thñ c«ng cét</v>
          </cell>
          <cell r="C65" t="str">
            <v>tÊn</v>
          </cell>
          <cell r="D65">
            <v>1</v>
          </cell>
          <cell r="E65">
            <v>0.1</v>
          </cell>
          <cell r="F65">
            <v>91090</v>
          </cell>
          <cell r="H65">
            <v>9109</v>
          </cell>
        </row>
        <row r="66">
          <cell r="A66" t="str">
            <v>05.5211</v>
          </cell>
          <cell r="B66" t="str">
            <v>Dùng cét</v>
          </cell>
          <cell r="C66" t="str">
            <v xml:space="preserve">c¸i </v>
          </cell>
          <cell r="D66">
            <v>1</v>
          </cell>
          <cell r="E66">
            <v>1</v>
          </cell>
          <cell r="F66">
            <v>80605</v>
          </cell>
          <cell r="H66">
            <v>80605</v>
          </cell>
        </row>
        <row r="68">
          <cell r="A68" t="str">
            <v>8,5b</v>
          </cell>
          <cell r="B68" t="str">
            <v>Cét ®iÖn 8,5b</v>
          </cell>
          <cell r="G68">
            <v>604680</v>
          </cell>
          <cell r="H68">
            <v>101634.485</v>
          </cell>
        </row>
        <row r="69">
          <cell r="B69" t="str">
            <v>a)VËt liÖu</v>
          </cell>
        </row>
        <row r="70">
          <cell r="B70" t="str">
            <v>Cét ®iÖn 8,5b</v>
          </cell>
          <cell r="C70" t="str">
            <v>cét</v>
          </cell>
          <cell r="D70">
            <v>1</v>
          </cell>
          <cell r="E70">
            <v>1.002</v>
          </cell>
          <cell r="F70">
            <v>595000</v>
          </cell>
          <cell r="G70">
            <v>596190</v>
          </cell>
        </row>
        <row r="71">
          <cell r="A71" t="str">
            <v>05,5211</v>
          </cell>
          <cell r="B71" t="str">
            <v>VËt liÖu phô</v>
          </cell>
          <cell r="C71" t="str">
            <v>cét</v>
          </cell>
          <cell r="D71">
            <v>1</v>
          </cell>
          <cell r="E71">
            <v>1</v>
          </cell>
          <cell r="F71">
            <v>8490</v>
          </cell>
          <cell r="G71">
            <v>8490</v>
          </cell>
        </row>
        <row r="72">
          <cell r="B72" t="str">
            <v>b)Nh©n c«ng</v>
          </cell>
          <cell r="H72">
            <v>0</v>
          </cell>
        </row>
        <row r="73">
          <cell r="A73" t="str">
            <v>02,1461</v>
          </cell>
          <cell r="B73" t="str">
            <v>V/c cét 100m</v>
          </cell>
          <cell r="C73" t="str">
            <v>tÊn</v>
          </cell>
          <cell r="D73">
            <v>0.85</v>
          </cell>
          <cell r="E73">
            <v>0.1</v>
          </cell>
          <cell r="F73">
            <v>140241</v>
          </cell>
          <cell r="H73">
            <v>11920.485000000001</v>
          </cell>
        </row>
        <row r="74">
          <cell r="A74" t="str">
            <v>02,1481</v>
          </cell>
          <cell r="B74" t="str">
            <v>V/c dông cô thñ c«ng cét</v>
          </cell>
          <cell r="C74" t="str">
            <v>tÊn</v>
          </cell>
          <cell r="D74">
            <v>1</v>
          </cell>
          <cell r="E74">
            <v>0.1</v>
          </cell>
          <cell r="F74">
            <v>91090</v>
          </cell>
          <cell r="H74">
            <v>9109</v>
          </cell>
        </row>
        <row r="75">
          <cell r="A75" t="str">
            <v>05.5211</v>
          </cell>
          <cell r="B75" t="str">
            <v>Dùng cét</v>
          </cell>
          <cell r="C75" t="str">
            <v xml:space="preserve">c¸i </v>
          </cell>
          <cell r="D75">
            <v>1</v>
          </cell>
          <cell r="E75">
            <v>1</v>
          </cell>
          <cell r="F75">
            <v>80605</v>
          </cell>
          <cell r="H75">
            <v>80605</v>
          </cell>
        </row>
        <row r="77">
          <cell r="A77" t="str">
            <v>8a</v>
          </cell>
          <cell r="B77" t="str">
            <v>Cét ®iÖn 8a</v>
          </cell>
          <cell r="G77">
            <v>569610</v>
          </cell>
          <cell r="H77">
            <v>100232.075</v>
          </cell>
        </row>
        <row r="78">
          <cell r="B78" t="str">
            <v>a)VËt liÖu</v>
          </cell>
        </row>
        <row r="79">
          <cell r="B79" t="str">
            <v>Cét ®iÖn 8a</v>
          </cell>
          <cell r="C79" t="str">
            <v>cét</v>
          </cell>
          <cell r="D79">
            <v>1</v>
          </cell>
          <cell r="E79">
            <v>1.002</v>
          </cell>
          <cell r="F79">
            <v>560000</v>
          </cell>
          <cell r="G79">
            <v>561120</v>
          </cell>
        </row>
        <row r="80">
          <cell r="A80" t="str">
            <v>05,5211</v>
          </cell>
          <cell r="B80" t="str">
            <v>VËt liÖu phô</v>
          </cell>
          <cell r="C80" t="str">
            <v>cét</v>
          </cell>
          <cell r="D80">
            <v>1</v>
          </cell>
          <cell r="E80">
            <v>1</v>
          </cell>
          <cell r="F80">
            <v>8490</v>
          </cell>
          <cell r="G80">
            <v>8490</v>
          </cell>
        </row>
        <row r="81">
          <cell r="B81" t="str">
            <v>b)Nh©n c«ng</v>
          </cell>
          <cell r="H81">
            <v>0</v>
          </cell>
        </row>
        <row r="82">
          <cell r="A82" t="str">
            <v>02,1461</v>
          </cell>
          <cell r="B82" t="str">
            <v>V/c cét 100m</v>
          </cell>
          <cell r="C82" t="str">
            <v>tÊn</v>
          </cell>
          <cell r="D82">
            <v>0.75</v>
          </cell>
          <cell r="E82">
            <v>0.1</v>
          </cell>
          <cell r="F82">
            <v>140241</v>
          </cell>
          <cell r="H82">
            <v>10518.075000000001</v>
          </cell>
        </row>
        <row r="83">
          <cell r="A83" t="str">
            <v>02,1481</v>
          </cell>
          <cell r="B83" t="str">
            <v>V/c dông cô thñ c«ng cét</v>
          </cell>
          <cell r="C83" t="str">
            <v>tÊn</v>
          </cell>
          <cell r="D83">
            <v>1</v>
          </cell>
          <cell r="E83">
            <v>0.1</v>
          </cell>
          <cell r="F83">
            <v>91090</v>
          </cell>
          <cell r="H83">
            <v>9109</v>
          </cell>
        </row>
        <row r="84">
          <cell r="A84" t="str">
            <v>05.5211</v>
          </cell>
          <cell r="B84" t="str">
            <v>Dùng cét</v>
          </cell>
          <cell r="C84" t="str">
            <v xml:space="preserve">c¸i </v>
          </cell>
          <cell r="D84">
            <v>1</v>
          </cell>
          <cell r="E84">
            <v>1</v>
          </cell>
          <cell r="F84">
            <v>80605</v>
          </cell>
          <cell r="H84">
            <v>80605</v>
          </cell>
        </row>
        <row r="86">
          <cell r="A86" t="str">
            <v>8b</v>
          </cell>
          <cell r="B86" t="str">
            <v>Cét ®iÖn 8b</v>
          </cell>
          <cell r="G86">
            <v>604680</v>
          </cell>
          <cell r="H86">
            <v>100232.075</v>
          </cell>
        </row>
        <row r="87">
          <cell r="B87" t="str">
            <v>a)VËt liÖu</v>
          </cell>
        </row>
        <row r="88">
          <cell r="B88" t="str">
            <v>Cét ®iÖn 8b</v>
          </cell>
          <cell r="C88" t="str">
            <v>cét</v>
          </cell>
          <cell r="D88">
            <v>1</v>
          </cell>
          <cell r="E88">
            <v>1.002</v>
          </cell>
          <cell r="F88">
            <v>595000</v>
          </cell>
          <cell r="G88">
            <v>596190</v>
          </cell>
        </row>
        <row r="89">
          <cell r="A89" t="str">
            <v>05,5211</v>
          </cell>
          <cell r="B89" t="str">
            <v>VËt liÖu phô</v>
          </cell>
          <cell r="C89" t="str">
            <v>cét</v>
          </cell>
          <cell r="D89">
            <v>1</v>
          </cell>
          <cell r="E89">
            <v>1</v>
          </cell>
          <cell r="F89">
            <v>8490</v>
          </cell>
          <cell r="G89">
            <v>8490</v>
          </cell>
        </row>
        <row r="90">
          <cell r="B90" t="str">
            <v>b)Nh©n c«ng</v>
          </cell>
          <cell r="H90">
            <v>0</v>
          </cell>
        </row>
        <row r="91">
          <cell r="A91" t="str">
            <v>02,1461</v>
          </cell>
          <cell r="B91" t="str">
            <v>V/c cét 100m</v>
          </cell>
          <cell r="C91" t="str">
            <v>tÊn</v>
          </cell>
          <cell r="D91">
            <v>0.75</v>
          </cell>
          <cell r="E91">
            <v>0.1</v>
          </cell>
          <cell r="F91">
            <v>140241</v>
          </cell>
          <cell r="H91">
            <v>10518.075000000001</v>
          </cell>
        </row>
        <row r="92">
          <cell r="A92" t="str">
            <v>02,1481</v>
          </cell>
          <cell r="B92" t="str">
            <v>V/c dông cô thñ c«ng cét</v>
          </cell>
          <cell r="C92" t="str">
            <v>tÊn</v>
          </cell>
          <cell r="D92">
            <v>1</v>
          </cell>
          <cell r="E92">
            <v>0.1</v>
          </cell>
          <cell r="F92">
            <v>91090</v>
          </cell>
          <cell r="H92">
            <v>9109</v>
          </cell>
        </row>
        <row r="93">
          <cell r="A93" t="str">
            <v>05.5211</v>
          </cell>
          <cell r="B93" t="str">
            <v>Dùng cét</v>
          </cell>
          <cell r="C93" t="str">
            <v xml:space="preserve">c¸i </v>
          </cell>
          <cell r="D93">
            <v>1</v>
          </cell>
          <cell r="E93">
            <v>1</v>
          </cell>
          <cell r="F93">
            <v>80605</v>
          </cell>
          <cell r="H93">
            <v>80605</v>
          </cell>
        </row>
      </sheetData>
      <sheetData sheetId="24" refreshError="1"/>
      <sheetData sheetId="25" refreshError="1"/>
      <sheetData sheetId="26" refreshError="1"/>
      <sheetData sheetId="27" refreshError="1"/>
      <sheetData sheetId="28"/>
      <sheetData sheetId="29"/>
      <sheetData sheetId="3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txl"/>
      <sheetName val="thtdt"/>
      <sheetName val="thcpk"/>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Sheet1"/>
      <sheetName val="@QDinh"/>
      <sheetName val="SoLieuDT"/>
      <sheetName val="TongHop"/>
      <sheetName val="ToString"/>
      <sheetName val="CPThietBi"/>
      <sheetName val="DinhMucCPK"/>
      <sheetName val="CPXL"/>
      <sheetName val="DinhMucThKe"/>
      <sheetName val="CP Khac"/>
      <sheetName val="CPKS&amp;TK"/>
      <sheetName val="TgHop-XDCB"/>
      <sheetName val="ThanhPhan"/>
      <sheetName val="@ZTrungThe"/>
      <sheetName val="@TramTreo"/>
      <sheetName val="@TramNen"/>
      <sheetName val="@MayPhat"/>
      <sheetName val="@ZHaThe"/>
      <sheetName val="VatLieu"/>
      <sheetName val="NC"/>
      <sheetName val="Test"/>
      <sheetName val="SuDungLai"/>
      <sheetName val="ThuHoi"/>
      <sheetName val="VanTai"/>
      <sheetName val="Bang ke KLVT"/>
      <sheetName val="Bang THKLVT"/>
      <sheetName val="THAO GO THU HOI"/>
      <sheetName val="BocLen"/>
      <sheetName val="XXuong"/>
      <sheetName val="ChuDan"/>
      <sheetName val="Cuoc VTcu"/>
      <sheetName val="Error"/>
      <sheetName val="XL4Test5"/>
      <sheetName val="Sheet2"/>
      <sheetName val="Sheet3"/>
      <sheetName val="00000000"/>
      <sheetName val="thang6"/>
      <sheetName val="thang7"/>
      <sheetName val="thang8"/>
      <sheetName val="Chi PK"/>
      <sheetName val="B1"/>
      <sheetName val="B2"/>
      <sheetName val="B3"/>
      <sheetName val="B4"/>
      <sheetName val="Chung"/>
      <sheetName val="thdt"/>
      <sheetName val="xlc"/>
      <sheetName val="thchung"/>
      <sheetName val="thmong"/>
      <sheetName val="thcot"/>
      <sheetName val="TH35"/>
      <sheetName val="thdien"/>
      <sheetName val="thinghiem"/>
      <sheetName val="vtuA"/>
      <sheetName val="CTmong"/>
      <sheetName val="CTcoc"/>
      <sheetName val="CTcot"/>
      <sheetName val="vcdd "/>
      <sheetName val="chuqua"/>
      <sheetName val="bugia"/>
      <sheetName val="xlkhac"/>
      <sheetName val="KLcoc"/>
      <sheetName val="vlmong"/>
      <sheetName val="daodat"/>
      <sheetName val="THoi"/>
      <sheetName val="Thu hoi"/>
      <sheetName val="clvc"/>
      <sheetName val="Denbu"/>
      <sheetName val="CBSX110"/>
      <sheetName val="dg285"/>
      <sheetName val="10000000"/>
      <sheetName val="20000000"/>
      <sheetName val="30000000"/>
      <sheetName val="40000000"/>
      <sheetName val="50000000"/>
      <sheetName val="60000000"/>
      <sheetName val="PST01"/>
      <sheetName val="PST02"/>
      <sheetName val="PST03"/>
      <sheetName val="PST04"/>
      <sheetName val="PST05"/>
      <sheetName val="PST06"/>
      <sheetName val="PST07"/>
      <sheetName val="PST08"/>
      <sheetName val="PST09"/>
      <sheetName val="PST10"/>
      <sheetName val="PST11"/>
      <sheetName val="PST12"/>
      <sheetName val="BCDKT"/>
      <sheetName val="KQHDKD"/>
      <sheetName val="BCDPSQUYI"/>
      <sheetName val="BCDPSQUYII"/>
      <sheetName val="BCDPS6THANG"/>
      <sheetName val="00000001"/>
      <sheetName val="XL4Poppy"/>
      <sheetName val="Du Toan"/>
      <sheetName val="KH-Q1,Q2,01"/>
      <sheetName val="chitimc"/>
      <sheetName val="Keothep"/>
      <sheetName val="Re-bar"/>
      <sheetName val="BETON"/>
      <sheetName val="Tinh BT"/>
      <sheetName val="DANHPHAP"/>
      <sheetName val="tuong"/>
      <sheetName val="CBKC-110"/>
      <sheetName val="#REF"/>
      <sheetName val="THXD"/>
      <sheetName val="DT CT"/>
      <sheetName val="Chi phi khac"/>
      <sheetName val="DGKS"/>
      <sheetName val="ks"/>
      <sheetName val="DG BX"/>
      <sheetName val="Luong ks"/>
      <sheetName val="noi suy"/>
      <sheetName val="THtbi"/>
      <sheetName val="Thiet bi"/>
      <sheetName val="Lap dat TB"/>
      <sheetName val="VLNC-MTC"/>
      <sheetName val="ma kem "/>
      <sheetName val="Dnoi35"/>
      <sheetName val="CT"/>
      <sheetName val="Bieu so 5 - TDT"/>
      <sheetName val="Bke"/>
      <sheetName val="THTN"/>
      <sheetName val="TN"/>
      <sheetName val="Mong"/>
      <sheetName val="VC dd"/>
      <sheetName val="VCtba"/>
      <sheetName val="CTBT"/>
      <sheetName val="BT"/>
      <sheetName val="PSS"/>
      <sheetName val="CHITIET VL-NC-TT -1p"/>
      <sheetName val="TDTKP1"/>
      <sheetName val="beam"/>
      <sheetName val="Material U.P"/>
      <sheetName val="eqp"/>
      <sheetName val="ChiTietDZ"/>
      <sheetName val="VuaBT"/>
      <sheetName val="SILICATE"/>
      <sheetName val="Gia vat tu"/>
      <sheetName val="no.2"/>
      <sheetName val="truc tiep"/>
      <sheetName val="CHITIET VL-NC-TT-3p"/>
      <sheetName val="TONG HOP VL-NC TT"/>
      <sheetName val="KPVC-BD "/>
      <sheetName val="CxSheet"/>
      <sheetName val="L1-Price Summary"/>
      <sheetName val="THVT"/>
      <sheetName val="PTDM"/>
      <sheetName val="dg-VTu"/>
      <sheetName val="thplk"/>
      <sheetName val="vllien"/>
      <sheetName val="klvldief"/>
      <sheetName val="thcrk"/>
      <sheetName val="dtxn"/>
      <sheetName val="tntdka"/>
      <sheetName val="cimenu"/>
      <sheetName val="vlcii"/>
      <sheetName val="Don-gia"/>
      <sheetName val="Tổng kê"/>
      <sheetName val="MAIN GATE HOUSE"/>
      <sheetName val="Thông tin chung"/>
      <sheetName val="BIA (2)"/>
      <sheetName val="dongxuan"/>
      <sheetName val="Chi tiet XD TBA"/>
      <sheetName val=""/>
      <sheetName val="Tong_ke"/>
      <sheetName val="VL,NC,MTC"/>
      <sheetName val="Quantity"/>
      <sheetName val="|ntdi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so"/>
      <sheetName val="tinhI"/>
      <sheetName val="60,100"/>
      <sheetName val="60.300"/>
      <sheetName val="60.400"/>
      <sheetName val="60.600"/>
      <sheetName val="60.700"/>
      <sheetName val="60.800"/>
      <sheetName val="60.900"/>
      <sheetName val="61,300"/>
      <sheetName val="61.500"/>
      <sheetName val="botbi"/>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_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general"/>
      <sheetName val="Main Road"/>
      <sheetName val="KL_Dat-Da"/>
      <sheetName val="N1"/>
      <sheetName val="Km0_Km8"/>
      <sheetName val="Km27_Km40+390"/>
      <sheetName val="Km8_Km17"/>
      <sheetName val="Tackcoat"/>
      <sheetName val="Primecoat"/>
      <sheetName val="Km17_Km27"/>
      <sheetName val="XL4Poppy"/>
      <sheetName val="1"/>
      <sheetName val="2"/>
      <sheetName val="1-11"/>
      <sheetName val="2-11"/>
      <sheetName val="1-12"/>
      <sheetName val="Sheet7"/>
      <sheetName val="Sheet8"/>
      <sheetName val="1-1"/>
      <sheetName val="2-12"/>
      <sheetName val="2-1"/>
      <sheetName val="1-2"/>
      <sheetName val="2-2"/>
      <sheetName val="1-3"/>
      <sheetName val="Sheet6"/>
      <sheetName val="Sheet5"/>
      <sheetName val="8thangdaunam"/>
      <sheetName val="Sheet4"/>
      <sheetName val="Sheet2"/>
      <sheetName val="KDT6"/>
      <sheetName val="KDT7"/>
      <sheetName val="KDT8"/>
      <sheetName val="KDT9"/>
      <sheetName val="KDT10"/>
      <sheetName val="TH"/>
      <sheetName val="XLT7"/>
      <sheetName val="XL8"/>
      <sheetName val="XLT9"/>
      <sheetName val="Sheet9"/>
      <sheetName val="XLT6"/>
      <sheetName val="XXXXXXXX"/>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
      <sheetName val="000000000000"/>
      <sheetName val="100000000000"/>
      <sheetName val="200000000000"/>
      <sheetName val="00000001"/>
      <sheetName val="XNGBQII-05"/>
      <sheetName val="XNGBQII-05 (02)"/>
      <sheetName val="Congty"/>
      <sheetName val="VPPN"/>
      <sheetName val="XN74"/>
      <sheetName val="XN54"/>
      <sheetName val="XN33"/>
      <sheetName val="NK96"/>
      <sheetName val="XL4Test5"/>
      <sheetName val="Sheet13"/>
      <sheetName val="DTDD"/>
      <sheetName val="DTCD"/>
      <sheetName val="DTDD2003"/>
      <sheetName val="Vayvon"/>
      <sheetName val="Sheet1"/>
      <sheetName val="Tdien"/>
      <sheetName val="DTSON ADB3-N2"/>
      <sheetName val="Sheet12"/>
      <sheetName val="Sheet11"/>
      <sheetName val="Sheet10"/>
      <sheetName val="BangketienvayNHS"/>
      <sheetName val="Sheet15"/>
      <sheetName val="Sheet3"/>
      <sheetName val="Sheet14"/>
      <sheetName val="Sheet16"/>
      <sheetName val="tong hop"/>
      <sheetName val="phan tich DG"/>
      <sheetName val="gia vat lieu"/>
      <sheetName val="gia xe may"/>
      <sheetName val="gia nhan cong"/>
      <sheetName val="tuong"/>
      <sheetName val="Shdet3"/>
      <sheetName val="g)a vat lieu"/>
      <sheetName val="gia nhan cmng"/>
      <sheetName val="!-3"/>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 val="LLV"/>
      <sheetName val="BANGTRA"/>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8"/>
      <sheetName val="Lop 6 lan 1"/>
      <sheetName val="lop1 lan2"/>
      <sheetName val="lop2 lan2 "/>
      <sheetName val="lop3 lan2 "/>
      <sheetName val="lop4 lan2 "/>
      <sheetName val="lop5 lan2 "/>
      <sheetName val="lop6 lan2 "/>
      <sheetName val="lop7 lan2 "/>
      <sheetName val="lop8 lan2 "/>
      <sheetName val="lop9 lan2"/>
      <sheetName val="lop10 lan2 "/>
      <sheetName val="Tan an(8)"/>
      <sheetName val="QK(DP1) (7)"/>
      <sheetName val="cat®o luong(DP1) (6)"/>
      <sheetName val="cat tam quang(DP1) (5)"/>
      <sheetName val="cat Na dan(DP1) (4)"/>
      <sheetName val="cat Na dan(DP1) (2)"/>
      <sheetName val="catdo luong(496)"/>
      <sheetName val="catNam Dan (DELTA) (3)"/>
      <sheetName val="cat hoa binh (DP2) (2)"/>
      <sheetName val="cat hoa binh (DP1)"/>
      <sheetName val="cat song dinh (4)"/>
      <sheetName val="C47-456"/>
      <sheetName val="C46"/>
      <sheetName val="C47-PII"/>
      <sheetName val="Nconõþnhan"/>
      <sheetName val="2J.01"/>
      <sheetName val="2J.02"/>
      <sheetName val="2J.03"/>
      <sheetName val="2J.04"/>
      <sheetName val="2J.05"/>
      <sheetName val="2J.06"/>
      <sheetName val="2J.07"/>
      <sheetName val="2J.10"/>
      <sheetName val="2J.11"/>
      <sheetName val="2J.12"/>
      <sheetName val="2J.13"/>
      <sheetName val="muc.luc"/>
      <sheetName val="123"/>
      <sheetName val="B-n (2)"/>
      <sheetName val="B-n"/>
      <sheetName val="B-ky2"/>
      <sheetName val="TH-t toan"/>
      <sheetName val="T-toan"/>
      <sheetName val="B-ky"/>
      <sheetName val="th-dn"/>
      <sheetName val="XD"/>
      <sheetName val="dien"/>
      <sheetName val="nuoc"/>
      <sheetName val="Tbi"/>
      <sheetName val="Ctiet-XD"/>
      <sheetName val="Ctiet-dien"/>
      <sheetName val="Ctiet-nuoc"/>
      <sheetName val="Vtu-XD"/>
      <sheetName val="Vtu-dien"/>
      <sheetName val="Vtu-nuoc"/>
      <sheetName val="Tro giup"/>
      <sheetName val="QK(@P1) (7)"/>
      <sheetName val="PHUTRO500"/>
      <sheetName val="vlmifh hoa"/>
      <sheetName val="catNam Daf (DELTA) (3)"/>
      <sheetName val="Sheet0"/>
      <sheetName val="dtxl"/>
      <sheetName val="gvl"/>
      <sheetName val="Chart1"/>
      <sheetName val="PTVT"/>
      <sheetName val="THKL"/>
      <sheetName val="CLVL"/>
      <sheetName val="CLVT Mong"/>
      <sheetName val="PTVT Mong"/>
      <sheetName val="DG Mong"/>
      <sheetName val="CLVT Than"/>
      <sheetName val="PTVT Than"/>
      <sheetName val="DG Than"/>
      <sheetName val="BiaNgoai"/>
      <sheetName val="BiaTrong"/>
      <sheetName val="THVT"/>
      <sheetName val="CVC"/>
      <sheetName val="CVCM"/>
      <sheetName val="BG"/>
      <sheetName val="DToan"/>
      <sheetName val="Det1-3"/>
      <sheetName val="T-H"/>
      <sheetName val="Com29-04Gh"/>
      <sheetName val="Com27-04NThu"/>
      <sheetName val="TH8-5"/>
      <sheetName val="KL Nthu ngay 8-5"/>
      <sheetName val="Com21-04"/>
      <sheetName val="115BC03"/>
      <sheetName val="112BC02"/>
      <sheetName val="114BC02"/>
      <sheetName val="113BC03"/>
      <sheetName val="113BC02"/>
      <sheetName val="116BC02"/>
      <sheetName val="116BC04"/>
      <sheetName val="114BC04"/>
      <sheetName val="112BC04"/>
      <sheetName val="111AC01"/>
      <sheetName val="111-BC02"/>
      <sheetName val="115BC02"/>
      <sheetName val="116BC01"/>
      <sheetName val="GH116BC04(13-4)"/>
      <sheetName val="GH113BC03(13-4)"/>
      <sheetName val="GH112BC02(13-4)"/>
      <sheetName val="Com1-3"/>
      <sheetName val="Com26-3"/>
      <sheetName val="Det26-3"/>
      <sheetName val="Com1-4"/>
      <sheetName val="Det1-4"/>
      <sheetName val="50000000"/>
      <sheetName val="Cheet14"/>
      <sheetName val="F1"/>
      <sheetName val="DTCT"/>
      <sheetName val="Breakdown bill"/>
      <sheetName val="Breakdown 2"/>
      <sheetName val="Sheut26"/>
      <sheetName val="thdt"/>
      <sheetName val="ptvl0-1"/>
      <sheetName val="0-1"/>
      <sheetName val="ptvl4-5"/>
      <sheetName val="4-5"/>
      <sheetName val="ptvl3-4"/>
      <sheetName val="3-4"/>
      <sheetName val="ptvl2-3"/>
      <sheetName val="2-3"/>
      <sheetName val="vlcong"/>
      <sheetName val="ptvl1-2"/>
      <sheetName val="Cofgty"/>
      <sheetName val="MTL(AG)"/>
      <sheetName val="BOQ-1"/>
      <sheetName val="BangketienvcyNHS"/>
      <sheetName val="khi tiet KHM"/>
      <sheetName val="DP than"/>
      <sheetName val="Maueoi"/>
      <sheetName val="TH thantkn"/>
      <sheetName val="XNE@QII-05 (3)"/>
      <sheetName val="sx-tt)tk"/>
      <sheetName val="t.so"/>
      <sheetName val="TH1"/>
      <sheetName val="TH2"/>
      <sheetName val="TH3"/>
      <sheetName val="TH4"/>
      <sheetName val="TH5"/>
      <sheetName val="TH6"/>
      <sheetName val="TH7"/>
      <sheetName val="TH8"/>
      <sheetName val="TH9"/>
      <sheetName val="TH10"/>
      <sheetName val="TH11"/>
      <sheetName val="TH12"/>
      <sheetName val="khluong"/>
      <sheetName val="COAT&amp;WRAP-QIOT-#3"/>
      <sheetName val="PNT-QUOT-#3"/>
      <sheetName val="ESTI."/>
      <sheetName val="DI-ESTI"/>
      <sheetName val="IBASE"/>
      <sheetName val="KJ 2002"/>
      <sheetName val="Truot_nen"/>
      <sheetName val="SILICATE"/>
      <sheetName val="CD2000"/>
      <sheetName val="Girder"/>
      <sheetName val="nc"/>
      <sheetName val="vlieu"/>
      <sheetName val="000000_x0010_0"/>
      <sheetName val="XXPXXXXX"/>
      <sheetName val="DS-Thuong 6T dau"/>
      <sheetName val="S2"/>
      <sheetName val="KLHT"/>
      <sheetName val="MTO REV.2(ARMOR)"/>
      <sheetName val="XJ54"/>
      <sheetName val="canh"/>
      <sheetName val="lt-tl"/>
      <sheetName val="px3-tl"/>
      <sheetName val="px1-tl"/>
      <sheetName val="vp-tl"/>
      <sheetName val="px2,tb-tl"/>
      <sheetName val="th-qt"/>
      <sheetName val="bqt"/>
      <sheetName val="tl-khovt"/>
      <sheetName val="dtkhovt"/>
      <sheetName val="Sheet17"/>
      <sheetName val="Wall"/>
      <sheetName val="Dieuchinh"/>
      <sheetName val="DU_LIEU"/>
      <sheetName val="_PHUTRO500.xlsѝGia ban NK bq"/>
      <sheetName val="vnminh hoa"/>
      <sheetName val="GIAVLIEU"/>
      <sheetName val="CCDUCU"/>
      <sheetName val="TONGHOP KH"/>
      <sheetName val="PBOKHAUHAO"/>
      <sheetName val="Chi tiet"/>
      <sheetName val="S2_x0000__x0000_20"/>
      <sheetName val="[PHUTRO500.xlsѝGia ban NK bq"/>
      <sheetName val="KDT9_x0000__x0000__x0000__x0000__x0000__x0000__x0000__x0000__x0000__x0000__x0000__x0000_Դǧ_x0000__x0004__x0000__x0000__x0000__x0000__x0000__x0000_Ǘ_x0000__x0000__x0000_"/>
      <sheetName val="control"/>
      <sheetName val="cat Na dan(DP1)²_x0000__x0000_"/>
      <sheetName val="TN"/>
      <sheetName val="cat Na dan(DP1)²"/>
      <sheetName val="bluong"/>
      <sheetName val="dg"/>
      <sheetName val="banggia1"/>
      <sheetName val="pian tich DG"/>
      <sheetName val="KT(E-E)"/>
      <sheetName val="TT QII-0003"/>
      <sheetName val="[PHUTRO500.xls?Gia ban NK bq"/>
      <sheetName val="PhongBan"/>
      <sheetName val="Gia"/>
      <sheetName val="AC"/>
      <sheetName val="_PHUTRO500.xls_Gia ban NK bq"/>
      <sheetName val="Tinh truoc VAT"/>
      <sheetName val="CP khaosat(Congtinh)"/>
      <sheetName val="CP khaosat(tuyettinh)"/>
      <sheetName val="_x0000__x0000__x0000__x0000__x0000__x0000__x0000__x0000_"/>
      <sheetName val="Tổng kê"/>
      <sheetName val="DTSON ADB#-N2"/>
      <sheetName val="KDT9__________________________2"/>
      <sheetName val="Condesig"/>
      <sheetName val="Abut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sheetData sheetId="117" refreshError="1"/>
      <sheetData sheetId="118" refreshError="1"/>
      <sheetData sheetId="119"/>
      <sheetData sheetId="120"/>
      <sheetData sheetId="121"/>
      <sheetData sheetId="122" refreshError="1"/>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sheetData sheetId="381"/>
      <sheetData sheetId="382"/>
      <sheetData sheetId="383" refreshError="1"/>
      <sheetData sheetId="384" refreshError="1"/>
      <sheetData sheetId="385" refreshError="1"/>
      <sheetData sheetId="386" refreshError="1"/>
      <sheetData sheetId="387" refreshError="1"/>
      <sheetData sheetId="388"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 val="Sheet3"/>
      <sheetName val="Đoàn Vay Tiền"/>
      <sheetName val="Nợ Đoàn"/>
      <sheetName val="Gia vat tu"/>
      <sheetName val="tong hop"/>
      <sheetName val="phan tich DG"/>
      <sheetName val="gia vat lieu"/>
      <sheetName val="gia xe may"/>
      <sheetName val="gia nhan cong"/>
      <sheetName val="XL4Test5"/>
      <sheetName val="Sheet4"/>
      <sheetName val="Goc Dien"/>
      <sheetName val="QTDien"/>
      <sheetName val="THKP"/>
      <sheetName val="QTNuoc"/>
      <sheetName val="DTnuoc"/>
      <sheetName val="DT dien"/>
      <sheetName val="QTCSet"/>
      <sheetName val="TBI+NUOC "/>
      <sheetName val="Dien"/>
      <sheetName val="TBIWC"/>
      <sheetName val="TBI nuoc"/>
      <sheetName val="00000000"/>
      <sheetName val="10000000"/>
      <sheetName val="MTL$-INTER"/>
      <sheetName val="PHAN DS 22 KV"/>
      <sheetName val="gvl"/>
      <sheetName val="Gioi thieu"/>
      <sheetName val="DG 11"/>
      <sheetName val="Tien luong"/>
      <sheetName val="Kinh phi "/>
      <sheetName val="Phan tich"/>
      <sheetName val="VC"/>
      <sheetName val="XL4Poppy"/>
      <sheetName val="general"/>
      <sheetName val="Main Road"/>
      <sheetName val="RL"/>
      <sheetName val="TDQS"/>
      <sheetName val="40C"/>
      <sheetName val="40C-1"/>
      <sheetName val="thi lai"/>
      <sheetName val="DK6"/>
      <sheetName val="DK5"/>
      <sheetName val="DK4"/>
      <sheetName val="DK3"/>
      <sheetName val="DK2"/>
      <sheetName val="DK1"/>
      <sheetName val="ds1"/>
      <sheetName val="ds2"/>
      <sheetName val="ds3"/>
      <sheetName val="ds4"/>
      <sheetName val="ds5"/>
      <sheetName val="ds6"/>
      <sheetName val="6"/>
      <sheetName val="4"/>
      <sheetName val="5"/>
      <sheetName val="3"/>
      <sheetName val="2"/>
      <sheetName val="1"/>
      <sheetName val="DS"/>
      <sheetName val="HP"/>
      <sheetName val="LB"/>
      <sheetName val="SL"/>
      <sheetName val="hl"/>
      <sheetName val="40"/>
      <sheetName val="XXXXXXXX"/>
      <sheetName val="XXXXXXX0"/>
      <sheetName val="DE "/>
      <sheetName val="Chart1"/>
      <sheetName val="Congty"/>
      <sheetName val="VPPN"/>
      <sheetName val="XN74"/>
      <sheetName val="XN54"/>
      <sheetName val="XN33"/>
      <sheetName val="NK96"/>
      <sheetName val="Sum"/>
      <sheetName val="C.noTX0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phùn tich DG"/>
      <sheetName val="tra-vat-lieu"/>
      <sheetName val="MTO REV.0"/>
      <sheetName val="DO AM DT"/>
      <sheetName val="BANGTRA"/>
      <sheetName val="QMCT"/>
      <sheetName val="G2G3_CDR_Dim"/>
      <sheetName val="G2_System_Inputs"/>
      <sheetName val="G2_TDT_Input"/>
      <sheetName val="G2_TDT_Advanced"/>
      <sheetName val="G2G3_GGSN_WC"/>
      <sheetName val="G3_System_Inputs"/>
      <sheetName val="G3_TDT_Input"/>
      <sheetName val="Ðoàn Vay Ti?n"/>
      <sheetName val="N? Ðoàn"/>
      <sheetName val="hieuchinh30.11"/>
      <sheetName val="Bcaonhanh"/>
      <sheetName val="chitieth.chinh"/>
      <sheetName val="trinhEVN29.8"/>
      <sheetName val="Input"/>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cong"/>
      <sheetName val="dtk490_x000d_491(PAI_x0009_"/>
      <sheetName val="QTNugc"/>
      <sheetName val="10000_x0010_00"/>
      <sheetName val="thdt"/>
      <sheetName val="th"/>
      <sheetName val="ptvl0-1"/>
      <sheetName val="0-1"/>
      <sheetName val="ptvl4-5"/>
      <sheetName val="4-5"/>
      <sheetName val="ptvl3-4"/>
      <sheetName val="3-4"/>
      <sheetName val="ptvl2-3"/>
      <sheetName val="2-3"/>
      <sheetName val="vlcong"/>
      <sheetName val="ptvl1-2"/>
      <sheetName val="1-2"/>
      <sheetName val="gia vat_x0000_lieu"/>
      <sheetName val="Qheet1"/>
      <sheetName val="dtk490_x000a_491(PAI_x0009_"/>
      <sheetName val="Ðoàn Vay Ti_n"/>
      <sheetName val="N_ Ðoàn"/>
      <sheetName val="dtk490_x000d_491(PAI "/>
      <sheetName val="dtk490_x000a_491(PAI "/>
      <sheetName val="Tinh truoc VAT"/>
      <sheetName val="CP khaosat(Congtinh)"/>
      <sheetName val="CP khaosat(tuyettinh)"/>
      <sheetName val="Bia"/>
      <sheetName val="Tai trong"/>
      <sheetName val="Pile-Br-Capacity"/>
      <sheetName val="BanTinh"/>
      <sheetName val="CN kho doi"/>
      <sheetName val="CTHTchua TTn?ib?"/>
      <sheetName val="CN2004 N?p TCT"/>
      <sheetName val="dudoan"/>
      <sheetName val="gia vat"/>
      <sheetName val="CD2000"/>
      <sheetName val="Truot_nen"/>
      <sheetName val="GIAVL"/>
      <sheetName val="Gia"/>
      <sheetName val="Breakdown bill"/>
      <sheetName val="Breakdown 2"/>
      <sheetName val="CTHTchua TTn_ib_"/>
      <sheetName val="CN2004 N_p TCT"/>
      <sheetName val="TH kl cac cong tac"/>
      <sheetName val="KL cac cong tac chinh"/>
      <sheetName val="DGXL"/>
      <sheetName val="DM.DonVi (3)"/>
      <sheetName val="T.luc"/>
      <sheetName val="T.gian"/>
      <sheetName val="S.luong"/>
      <sheetName val="TD.Tho(1)"/>
      <sheetName val="TD.Tho(2)"/>
      <sheetName val="TD.Tho(3)"/>
      <sheetName val="Capdien"/>
      <sheetName val="20000000"/>
      <sheetName val="30000000"/>
      <sheetName val="dtk490࠭491(PAI)"/>
      <sheetName val="dtk490_491(PAI_x0009_"/>
      <sheetName val="dtxl"/>
      <sheetName val="dtk486"/>
      <sheetName val="TTTram"/>
      <sheetName val="Temp"/>
      <sheetName val=""/>
      <sheetName val="dtk490_491(PAI "/>
      <sheetName val="pc"/>
      <sheetName val="pt"/>
      <sheetName val="111"/>
      <sheetName val="th thu chi"/>
      <sheetName val="tam ung"/>
      <sheetName val="10000_x005f_x0010_00"/>
      <sheetName val="T2"/>
      <sheetName val="T3"/>
      <sheetName val="T4"/>
      <sheetName val="T5"/>
      <sheetName val="THop"/>
      <sheetName val="THKD"/>
      <sheetName val="40000000"/>
      <sheetName val="CN kho ðoi"/>
      <sheetName val="CTHTchýa TTn?ib?"/>
      <sheetName val="dt{490-491(PAII)"/>
      <sheetName val="ĐoànРVay Tiền"/>
      <sheetName val="thso_sanh"/>
      <sheetName val="DG_"/>
      <sheetName val="BOQ-1"/>
      <sheetName val="Ref"/>
      <sheetName val="h,"/>
      <sheetName val="CDPS"/>
      <sheetName val="MTO REV.2(ARMOR)"/>
      <sheetName val="gia vat?lieu"/>
      <sheetName val="gia vat_lie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th¸mo"/>
      <sheetName val="nhan"/>
      <sheetName val="bao on do"/>
      <sheetName val="tam"/>
      <sheetName val="vlp"/>
      <sheetName val="Sheet16"/>
      <sheetName val="Sheet17"/>
      <sheetName val="Sheet18"/>
      <sheetName val="Sheet19"/>
      <sheetName val="Sheet20"/>
      <sheetName val="XL4Poppy"/>
      <sheetName val="th_mo"/>
      <sheetName val="TT04"/>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itimc"/>
      <sheetName val="dtxl"/>
      <sheetName val="thopxlc"/>
      <sheetName val="thxlk"/>
      <sheetName val="vldien"/>
      <sheetName val="vlcaqu"/>
      <sheetName val="dien"/>
      <sheetName val="vcdd"/>
      <sheetName val="vcdn"/>
      <sheetName val="beton"/>
      <sheetName val="cpdbu"/>
      <sheetName val="chenh"/>
      <sheetName val="dg1"/>
      <sheetName val="ESTI."/>
      <sheetName val="DI-ESTI"/>
      <sheetName val="Sheet1"/>
      <sheetName val="Sheet2"/>
      <sheetName val="Sheet3"/>
      <sheetName val="00000000"/>
      <sheetName val=""/>
      <sheetName val="TMDT1"/>
      <sheetName val="CFXL"/>
      <sheetName val="THTB"/>
      <sheetName val="THCFK"/>
      <sheetName val="KLC"/>
      <sheetName val="Pvon_laivay"/>
      <sheetName val="Khaitoan"/>
      <sheetName val="DZ"/>
      <sheetName val="MSTB"/>
      <sheetName val="CFTK"/>
      <sheetName val="CFTV"/>
      <sheetName val="DGTH"/>
      <sheetName val="VLHTXL"/>
      <sheetName val="KTDA"/>
      <sheetName val="KTCAT"/>
      <sheetName val="Cuoc"/>
      <sheetName val="LuongZaHung"/>
      <sheetName val="MTC"/>
      <sheetName val="Gia-NSang"/>
      <sheetName val="CP tr-tron"/>
      <sheetName val="CTDG"/>
      <sheetName val="ML"/>
      <sheetName val="KLSSanh"/>
      <sheetName val="SosanhPA"/>
      <sheetName val="Phanvon"/>
      <sheetName val="&lt;oin&gt;"/>
      <sheetName val="5"/>
      <sheetName val="XD"/>
      <sheetName val="6"/>
      <sheetName val="KL"/>
      <sheetName val="NCKT"/>
      <sheetName val="VLP"/>
      <sheetName val="Luong"/>
      <sheetName val="Tro giup"/>
      <sheetName val="DZ 0.4"/>
      <sheetName val="Work-Condition"/>
      <sheetName val="äp"/>
      <sheetName val="CTDZ6kv (gd1) "/>
      <sheetName val="CTDZ 0.4+cto (GD1)"/>
      <sheetName val="CTTBA (gd1)"/>
      <sheetName val="PLQN99"/>
      <sheetName val="gvl"/>
      <sheetName val="TT04"/>
      <sheetName val="Gia"/>
      <sheetName val="XL4Poppy"/>
      <sheetName val="dongia"/>
      <sheetName val="DZ 35"/>
      <sheetName val="Cto"/>
      <sheetName val="07.5103_x0007_07.51035Hoäp noái caùp "/>
      <sheetName val="TH-XL"/>
      <sheetName val="MTL(AG)"/>
      <sheetName val="MTL$-INTER"/>
      <sheetName val="äp__x0007_07.5102_x0007_07.51024Hoäp noái c"/>
      <sheetName val="äp_x0000__x0007_07.5102_x0007_07.51024Hoäp noái c"/>
      <sheetName val="äp?_x0007_07.5102_x0007_07.51024Hoäp noái c"/>
      <sheetName val="CaMay"/>
      <sheetName val="DGiaT"/>
      <sheetName val="DGiaTN"/>
      <sheetName val="TT"/>
      <sheetName val="Du Toan"/>
      <sheetName val="DATA"/>
      <sheetName val="THVT"/>
      <sheetName val="PTDM"/>
      <sheetName val="CHITIET VL-NC-TT1p"/>
      <sheetName val="TONGKE3p"/>
      <sheetName val="Dutoan KL"/>
      <sheetName val="vankhuon"/>
      <sheetName val="KB"/>
      <sheetName val="MTO REV.2(ARMOR)"/>
      <sheetName val="Chart1"/>
      <sheetName val="Phantich"/>
      <sheetName val="Toan_DA"/>
      <sheetName val="2004"/>
      <sheetName val="2005"/>
      <sheetName val="XL4Test5"/>
      <sheetName val="_p__07_5102_07_51024Ho_p_no_i_2"/>
      <sheetName val="_p__07_5102_07_51024Ho_p_no_i_3"/>
      <sheetName val="giathanh1"/>
      <sheetName val="Dinh Muc VT"/>
      <sheetName val="Tien Luong"/>
      <sheetName val="DG3285"/>
      <sheetName val="Gia vat tu"/>
      <sheetName val="MTP"/>
      <sheetName val="DG"/>
      <sheetName val="CT AC"/>
      <sheetName val="CT KT"/>
      <sheetName val="CT Cau Thang"/>
      <sheetName val="VT AC"/>
      <sheetName val="CT35"/>
      <sheetName val="BILL No.22"/>
      <sheetName val="Heso"/>
      <sheetName val="SILICATE"/>
      <sheetName val="KPVC-BD "/>
      <sheetName val="_p__07_5102_07_51024Ho_p_no_i_4"/>
      <sheetName val="_p__07_5102_07_51024Ho_p_no_i_5"/>
      <sheetName val="?PLQN99"/>
      <sheetName val="_p__07_5102_07_51024Ho_p_no_i_6"/>
      <sheetName val="_p__07_5102_07_51024Ho_p_no_i_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PANEL 南區焚化爐"/>
      <sheetName val="NEW-PANEL"/>
      <sheetName val="MV-PANEL"/>
      <sheetName val="NEW_PANEL"/>
    </sheetNames>
    <sheetDataSet>
      <sheetData sheetId="0"/>
      <sheetData sheetId="1"/>
      <sheetData sheetId="2"/>
      <sheetData sheetId="3"/>
      <sheetData sheetId="4"/>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TTTram"/>
      <sheetName val="BT -TBA"/>
      <sheetName val="TTDZ35"/>
      <sheetName val="BT- DZ35"/>
      <sheetName val="TTDZ04"/>
      <sheetName val="BT-DZ0,4"/>
      <sheetName val="TTinhcto"/>
      <sheetName val="BT - cto"/>
      <sheetName val="ChiphiVC"/>
      <sheetName val="TH"/>
      <sheetName val="TH-QT"/>
      <sheetName val="To-bia"/>
      <sheetName val="Sheet1"/>
      <sheetName val="Gia MBA (2)"/>
      <sheetName val="Gi¸ tñ bï"/>
      <sheetName val="Gia-NC"/>
      <sheetName val="Gia-TN"/>
      <sheetName val="Gia KH"/>
      <sheetName val="GiaVT"/>
      <sheetName val="GiaVT XDCB"/>
      <sheetName val="Gia MBA"/>
      <sheetName val="Cac HS hay SD"/>
      <sheetName val="00000000"/>
      <sheetName val="Suachua"/>
      <sheetName val="Phan Tien Xuan Son La"/>
      <sheetName val="PhanTienXuan Nam Mu"/>
      <sheetName val="Quy"/>
      <sheetName val="NguyenHuyen"/>
      <sheetName val="Gia cong CK"/>
      <sheetName val="Co gioi- Nam Mu"/>
      <sheetName val="Thai nguyen"/>
      <sheetName val="PVNA"/>
      <sheetName val="To Dien Son La"/>
      <sheetName val="ToDien Nam Mu"/>
      <sheetName val="Anca BV"/>
      <sheetName val="Bao ve Son La"/>
      <sheetName val="Bao ve Nam Mu"/>
      <sheetName val="Bay"/>
      <sheetName val="B ay"/>
      <sheetName val="S y"/>
      <sheetName val="Gian tiep son la"/>
      <sheetName val="Gian tiep Nam Mu"/>
      <sheetName val="Ky Thuat Nam Mu"/>
      <sheetName val="Ky thuat Son La"/>
      <sheetName val="Tonghop"/>
      <sheetName val="XL4Test5"/>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XL4Poppy"/>
      <sheetName val="TT04"/>
      <sheetName val="vat tu"/>
      <sheetName val="Bó-DZ0,4"/>
      <sheetName val="GVL"/>
      <sheetName val="Phan Tien Xuan Son&quot;La"/>
      <sheetName val="CTV Di dong"/>
      <sheetName val="SHS"/>
      <sheetName val="6A"/>
      <sheetName val="6B"/>
      <sheetName val="6c"/>
      <sheetName val="7A"/>
      <sheetName val="7B"/>
      <sheetName val="7C"/>
      <sheetName val="8A"/>
      <sheetName val="8B"/>
      <sheetName val="8C"/>
      <sheetName val="9A"/>
      <sheetName val="9B"/>
      <sheetName val="THTK"/>
      <sheetName val="THC"/>
      <sheetName val="ds"/>
      <sheetName val="Chart1"/>
      <sheetName val="Sheet2"/>
      <sheetName val="Sheet3"/>
      <sheetName val="Quy IV"/>
      <sheetName val="Quy III"/>
      <sheetName val="Quy II"/>
      <sheetName val="Qui I"/>
      <sheetName val="Sheet 4"/>
      <sheetName val="Sheet5"/>
      <sheetName val="Sheet6"/>
      <sheetName val="Sheet9"/>
      <sheetName val="Sheet10"/>
      <sheetName val="Sheet11"/>
      <sheetName val="Sheet12"/>
      <sheetName val="Sheet13"/>
      <sheetName val="Sheet14"/>
      <sheetName val="Sheet15"/>
      <sheetName val="Sheet16"/>
      <sheetName val="QMCT"/>
      <sheetName val="Gia_NC"/>
      <sheetName val="정부노임단가"/>
      <sheetName val="chitiet"/>
      <sheetName val="GVT"/>
      <sheetName val="ctTBA"/>
      <sheetName val="Sheat1"/>
      <sheetName val="BT_-TBA"/>
      <sheetName val="BT-_DZ35"/>
      <sheetName val="BT_-_cto"/>
      <sheetName val="Gia_MBA_(2)"/>
      <sheetName val="Gi¸_tñ_bï"/>
      <sheetName val="Gia_KH"/>
      <sheetName val="GiaVT_XDCB"/>
      <sheetName val="Gia_MBA"/>
      <sheetName val="Cac_HS_hay_SD"/>
      <sheetName val="Phan_Tien_Xuan_Son_La"/>
      <sheetName val="PhanTienXuan_Nam_Mu"/>
      <sheetName val="Gia_cong_CK"/>
      <sheetName val="Co_gioi-_Nam_Mu"/>
      <sheetName val="Thai_nguyen"/>
      <sheetName val="To_Dien_Son_La"/>
      <sheetName val="ToDien_Nam_Mu"/>
      <sheetName val="Anca_BV"/>
      <sheetName val="Bao_ve_Son_La"/>
      <sheetName val="Bao_ve_Nam_Mu"/>
      <sheetName val="B_ay"/>
      <sheetName val="S_y"/>
      <sheetName val="Gian_tiep_son_la"/>
      <sheetName val="Gian_tiep_Nam_Mu"/>
      <sheetName val="Ky_Thuat_Nam_Mu"/>
      <sheetName val="Ky_thuat_Son_La"/>
      <sheetName val="TTVanChuyen"/>
      <sheetName val="NEW-PANEL"/>
      <sheetName val="mong + than"/>
      <sheetName val="h thien tt"/>
      <sheetName val="hoµn thien x trat"/>
      <sheetName val="~         "/>
      <sheetName val="TH-Dien"/>
      <sheetName val="Gia"/>
      <sheetName val="??????"/>
      <sheetName val="tienluong"/>
      <sheetName val="Gia_GC_Satthep"/>
      <sheetName val="subload"/>
      <sheetName val="1002_x0000__x0000_0"/>
      <sheetName val="1002??0"/>
      <sheetName val="Gian_tiep_so._la"/>
      <sheetName val="MB NHAN "/>
      <sheetName val="NMTD_c"/>
      <sheetName val="______"/>
      <sheetName val="Gi� t� b�"/>
      <sheetName val="B�-DZ0,4"/>
      <sheetName val="ho�n thien x trat"/>
      <sheetName val="Gi�_t�_b�"/>
      <sheetName val="TT0 "/>
      <sheetName val="Bó,DZ0,4"/>
      <sheetName val="Phan Tien Xean Son&quot;La"/>
      <sheetName val="Ch"/>
      <sheetName val="TH_Dien"/>
      <sheetName val="Phan Tien2_x0000__x0000_n Son&quot;La"/>
      <sheetName val="1002"/>
      <sheetName val="1002__0"/>
      <sheetName val="Phan Tien2"/>
      <sheetName val="Gi¸ tñ bç"/>
      <sheetName val="Book 1 Summary"/>
      <sheetName val="dtxl"/>
      <sheetName val="BKBANRA"/>
      <sheetName val="BKMUAVAO"/>
      <sheetName val="DLBCKT"/>
      <sheetName val="_x0000__x0000__x0000__x0000__x0000__x0000__x0000__x0000_"/>
      <sheetName val="Hµ Néi"/>
      <sheetName val="Phan Tien2??n Son&quot;La"/>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DTDZ35"/>
      <sheetName val="T_x0014_DZ04"/>
      <sheetName val="DH-QT"/>
      <sheetName val="Co gioi% Nam Mu"/>
      <sheetName val="_x0001_nca BV"/>
      <sheetName val="_x0002_ao ve Son La"/>
      <sheetName val="Ky Thua4 Nam Mu"/>
      <sheetName val="CD_x0016_"/>
      <sheetName val="CD1!"/>
      <sheetName val="C@12"/>
      <sheetName val="PNT-QUOT-#3"/>
      <sheetName val="COAT&amp;WRAP-QIOT-#3"/>
      <sheetName val="CTV_Di_dong"/>
      <sheetName val="#REF"/>
      <sheetName val="_x0014_T04"/>
      <sheetName val="VCVlieu"/>
      <sheetName val="dg-VTu"/>
      <sheetName val="GOC"/>
      <sheetName val="Phan Tien2__n Son&quot;La"/>
      <sheetName val="thuchien00"/>
      <sheetName val="NEW_PANEL"/>
      <sheetName val="????????"/>
      <sheetName val="7 THAI NGUYEN"/>
      <sheetName val="ToDien_Nam_"/>
      <sheetName val="KKKKKKKK"/>
      <sheetName val="SV_supporting info"/>
      <sheetName val="SV-supporting info"/>
      <sheetName val="DTCT-tuyen chinh"/>
      <sheetName val="tu"/>
      <sheetName val="________"/>
      <sheetName val="727"/>
      <sheetName val="dongia"/>
      <sheetName val="THVT"/>
      <sheetName val="PTDM"/>
      <sheetName val="KB"/>
      <sheetName val="DZ 0.4"/>
      <sheetName val="BC NHANH 01"/>
      <sheetName val="GVL-NC-M"/>
      <sheetName val="_x0018_C"/>
      <sheetName val="cl"/>
      <sheetName val="mong ; than"/>
      <sheetName val="BT_-TBA1"/>
      <sheetName val="BT-_DZ351"/>
      <sheetName val="BT_-_cto1"/>
      <sheetName val="Gia_MBA_(2)1"/>
      <sheetName val="Gi¸_tñ_bï1"/>
      <sheetName val="Gia_KH1"/>
      <sheetName val="GiaVT_XDCB1"/>
      <sheetName val="Gia_MBA1"/>
      <sheetName val="Cac_HS_hay_SD1"/>
      <sheetName val="Phan_Tien_Xuan_Son_La1"/>
      <sheetName val="PhanTienXuan_Nam_Mu1"/>
      <sheetName val="Gia_cong_CK1"/>
      <sheetName val="Co_gioi-_Nam_Mu1"/>
      <sheetName val="Thai_nguyen1"/>
      <sheetName val="To_Dien_Son_La1"/>
      <sheetName val="ToDien_Nam_Mu1"/>
      <sheetName val="Anca_BV1"/>
      <sheetName val="Bao_ve_Son_La1"/>
      <sheetName val="Bao_ve_Nam_Mu1"/>
      <sheetName val="B_ay1"/>
      <sheetName val="S_y1"/>
      <sheetName val="Gian_tiep_son_la1"/>
      <sheetName val="Gian_tiep_Nam_Mu1"/>
      <sheetName val="Ky_Thuat_Nam_Mu1"/>
      <sheetName val="Ky_thuat_Son_La1"/>
      <sheetName val="Phan_Tien_Xuan_Son&quot;La"/>
      <sheetName val="vat_tu"/>
      <sheetName val="Quy_IV"/>
      <sheetName val="Quy_III"/>
      <sheetName val="Quy_II"/>
      <sheetName val="Qui_I"/>
      <sheetName val="Sheet_4"/>
      <sheetName val="mong_+_than"/>
      <sheetName val="h_thien_tt"/>
      <sheetName val="hoµn_thien_x_trat"/>
      <sheetName val="~_________"/>
      <sheetName val="MB_NHAN_"/>
      <sheetName val="BT-_DZ3_"/>
      <sheetName val="BT_-_cto_x000b_"/>
      <sheetName val="BT_-_cto_x000b__x0000__x0000_Gia_MBA_(2)_x0009__x0000__x0000_Gi¸_tñ"/>
      <sheetName val="BT_,TBA"/>
      <sheetName val="DTCT-TPhuoc"/>
      <sheetName val="CNٺ"/>
      <sheetName val="Gi? t? b?"/>
      <sheetName val="B?-DZ0,4"/>
      <sheetName val="ho?n thien x trat"/>
      <sheetName val="Gi?_t?_b?"/>
      <sheetName val="Input"/>
      <sheetName val="HE SO"/>
      <sheetName val="BT_-_cto_x000b__x0000__x0000_Gia_MBA_(2) _x0000__x0000_Gi¸_tñ"/>
      <sheetName val="CTiet"/>
      <sheetName val="Hoanh bo"/>
      <sheetName val="lam-moi"/>
      <sheetName val="CHITIET VL-NC-TT -1p"/>
      <sheetName val="gtrinh"/>
      <sheetName val="CHITIET VL-NC"/>
      <sheetName val="1002_x0000__x0000_€0"/>
      <sheetName val="tranlam"/>
      <sheetName val="bao-gia"/>
      <sheetName val="Gi_ t_ b_"/>
      <sheetName val="B_-DZ0,4"/>
      <sheetName val="ho_n thien x trat"/>
      <sheetName val="Gi__t__b_"/>
      <sheetName val="T_x005f_x0014_DZ04"/>
      <sheetName val="_x005f_x0001_nca BV"/>
      <sheetName val="_x005f_x0002_ao ve Son La"/>
      <sheetName val="CD_x005f_x0016_"/>
      <sheetName val="VL"/>
      <sheetName val="BT_-_cto_x000b_??Gia_MBA_(2)_x0009_??Gi¸_tñ"/>
      <sheetName val="BT_-_cto_x000b_??Gia_MBA_(2) ??Gi¸_tñ"/>
      <sheetName val="1002??€0"/>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sheetData sheetId="108" refreshError="1"/>
      <sheetData sheetId="109" refreshError="1"/>
      <sheetData sheetId="110" refreshError="1"/>
      <sheetData sheetId="111" refreshError="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sheetData sheetId="139" refreshError="1"/>
      <sheetData sheetId="140" refreshError="1"/>
      <sheetData sheetId="141" refreshError="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sheetData sheetId="166" refreshError="1"/>
      <sheetData sheetId="167" refreshError="1"/>
      <sheetData sheetId="168" refreshError="1"/>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sheetData sheetId="207"/>
      <sheetData sheetId="208"/>
      <sheetData sheetId="209"/>
      <sheetData sheetId="210"/>
      <sheetData sheetId="21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Ctinh 10kV"/>
      <sheetName val="TTTr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TTTr"/>
      <sheetName val="XLKhac"/>
      <sheetName val="TTFS"/>
      <sheetName val="FS"/>
      <sheetName val="PhaDoMong"/>
      <sheetName val="ThaoDoDien"/>
      <sheetName val="XDNT"/>
      <sheetName val="C.TaoDK"/>
      <sheetName val="NhaPP"/>
      <sheetName val="Ch.SangThong gio"/>
      <sheetName val="TT35"/>
      <sheetName val="TT04"/>
      <sheetName val="TTCto"/>
      <sheetName val="Ch.Sang22"/>
      <sheetName val="LDatDien"/>
      <sheetName val="VC"/>
      <sheetName val="TN"/>
      <sheetName val="TH"/>
      <sheetName val="XL4Poppy"/>
      <sheetName val="CTi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khung ten TD"/>
      <sheetName val="khung ten LM7"/>
      <sheetName val="khung ten HC Q3"/>
      <sheetName val="khung ten HC HOAI NHON"/>
      <sheetName val="khung ten HC Hoa Khanh"/>
      <sheetName val="Khung ten TK"/>
      <sheetName val="thong ke"/>
      <sheetName val="Sheet6"/>
      <sheetName val="Sheet7"/>
      <sheetName val="Sheet8"/>
      <sheetName val="Sheet9"/>
      <sheetName val="Sheet10"/>
      <sheetName val="Sheet11"/>
      <sheetName val="Sheet12"/>
      <sheetName val="Sheet13"/>
      <sheetName val="Sheet14"/>
      <sheetName val="Sheet15"/>
      <sheetName val="Sheet16"/>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hopchung"/>
      <sheetName val="Thopne"/>
      <sheetName val="CLVLne"/>
      <sheetName val="NeXDCB"/>
      <sheetName val="dien"/>
      <sheetName val="Moi"/>
      <sheetName val="BaoChe"/>
      <sheetName val="Phan tich vt"/>
      <sheetName val="TH-XL"/>
      <sheetName val="VL-NC-tubo"/>
      <sheetName val="Go-ne"/>
      <sheetName val="VChuyen"/>
      <sheetName val="PT-Moi"/>
      <sheetName val="SThep"/>
      <sheetName val="VL-NC-SThep"/>
      <sheetName val="TH-Moi"/>
      <sheetName val="TH-Baoche"/>
      <sheetName val="TH-Dien"/>
      <sheetName val="CStinh"/>
      <sheetName val="CL-VL"/>
      <sheetName val="XL4Test5"/>
      <sheetName val="giathanh1"/>
      <sheetName val="tcds"/>
      <sheetName val="dienthoai"/>
      <sheetName val="tiendien"/>
      <sheetName val="unchi"/>
      <sheetName val="Sheet1"/>
      <sheetName val="csbchi"/>
      <sheetName val="dsnl2005"/>
      <sheetName val="Sheet3"/>
      <sheetName val="tb3"/>
      <sheetName val="tlinh"/>
      <sheetName val="phicd"/>
      <sheetName val="Thang5"/>
      <sheetName val="thang4"/>
      <sheetName val="thang3"/>
      <sheetName val="Sheet2"/>
      <sheetName val="bangke"/>
      <sheetName val="tangio"/>
      <sheetName val="grtien"/>
      <sheetName val="t1"/>
      <sheetName val="tbhp"/>
      <sheetName val="bkhp"/>
      <sheetName val="Thang 01"/>
      <sheetName val="Thang 02"/>
      <sheetName val="Thang 03"/>
      <sheetName val="Thang 04"/>
      <sheetName val="Thang 05"/>
      <sheetName val="Thang 06"/>
      <sheetName val="2006"/>
      <sheetName val="so sanh SL,CP"/>
      <sheetName val="luy ke thu von"/>
      <sheetName val="So SL"/>
      <sheetName val="So TVon"/>
      <sheetName val="bao cao GD hang quÝ"/>
      <sheetName val="tinhDT"/>
      <sheetName val="XL4Poppy"/>
      <sheetName val="ptvt"/>
      <sheetName val="sat"/>
      <sheetName val="Du_lieu"/>
      <sheetName val="TONGHOP"/>
      <sheetName val="ChiTietDZ"/>
      <sheetName val="VuaBT"/>
      <sheetName val="BQ"/>
      <sheetName val="K LUONG duong dby"/>
      <sheetName val="VL-NC TZ0,4"/>
      <sheetName val="ctdg"/>
      <sheetName val="chitimc"/>
      <sheetName val="DG-Don vi"/>
      <sheetName val="DM 56"/>
      <sheetName val="Thuc thanh"/>
      <sheetName val="ThongSo"/>
      <sheetName val="Gia VL"/>
      <sheetName val="Ban"/>
      <sheetName val="GS"/>
      <sheetName val="CD"/>
      <sheetName val="331"/>
      <sheetName val="CP"/>
      <sheetName val="Mua"/>
      <sheetName val="TK"/>
      <sheetName val="XNT"/>
      <sheetName val="BH"/>
      <sheetName val="BK MB"/>
      <sheetName val="So Cai"/>
      <sheetName val="Quy"/>
      <sheetName val="Luong"/>
      <sheetName val="TienLuong"/>
      <sheetName val="LKVL-CK-HT-GD1"/>
      <sheetName val="TONGKE-HT"/>
      <sheetName val="gia vt,nc,may"/>
      <sheetName val="NEW-PANEL"/>
      <sheetName val="dtxl"/>
      <sheetName val="CT THAO D၏"/>
      <sheetName val="0000000ူ"/>
      <sheetName val="Khung t"/>
      <sheetName val="[KHUTEN.XLSၝdienthoai"/>
      <sheetName val="t聩endien"/>
      <sheetName val=""/>
      <sheetName val="_KHUTEN.XLSၝdienthoai"/>
      <sheetName val="Dongia"/>
      <sheetName val="Kind of Service"/>
      <sheetName val="2004 Labor"/>
      <sheetName val="Service Coming"/>
      <sheetName val="vankhuon"/>
      <sheetName val="KHUTEN"/>
      <sheetName val="dg-VTu"/>
      <sheetName val="BETON"/>
      <sheetName val="PhaDoMong"/>
      <sheetName val="CBKC-110"/>
      <sheetName val="Trung the 1 pha "/>
      <sheetName val="Trung the 3 pha"/>
      <sheetName val="Ha the"/>
      <sheetName val="KH-Q1,Q2,01"/>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octuatrenda"/>
      <sheetName val="ptvt-dg"/>
      <sheetName val="QHDH-PAII"/>
      <sheetName val="khung ten HC HOAY NHON"/>
      <sheetName val="Don gia"/>
      <sheetName val="gvl"/>
      <sheetName val="DGKS"/>
      <sheetName val="CTdongia"/>
      <sheetName val="Sheet_x0016_"/>
      <sheetName val="Sheet1&quot;"/>
      <sheetName val="Sheet1_x0014_"/>
      <sheetName val="MHSCT"/>
      <sheetName val="KKKKKKKK"/>
      <sheetName val="LKVL_CK_HT_GD1"/>
      <sheetName val="TONGKE_HT"/>
      <sheetName val="KH moi"/>
      <sheetName val="kecot"/>
      <sheetName val="Bang tra"/>
      <sheetName val="khung ten HC Hoa_x0000_Khanh"/>
      <sheetName val="Go_x000d_ne"/>
      <sheetName val="HSLUONGTHO"/>
      <sheetName val="input"/>
      <sheetName val="thop"/>
      <sheetName val="khung ten HC Hoa"/>
      <sheetName val="00а00000"/>
      <sheetName val="Go_x000a_n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sheetData sheetId="143"/>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M 67"/>
      <sheetName val="XL4Poppy"/>
      <sheetName val="T.GIANG"/>
      <sheetName val="TTDZ22"/>
      <sheetName val="THCT"/>
      <sheetName val="THDZ0,4"/>
      <sheetName val="TH DZ35"/>
      <sheetName val="THTram"/>
      <sheetName val="149-2"/>
      <sheetName val="DG vat tu"/>
      <sheetName val="T.So_chung"/>
      <sheetName val="6호기"/>
      <sheetName val="INDOICHIEU"/>
      <sheetName val="Sheet1"/>
      <sheetName val="khung ten TD"/>
      <sheetName val="ChiTietDZ"/>
      <sheetName val="VuaBT"/>
      <sheetName val="#REF"/>
      <sheetName val="UP"/>
      <sheetName val="NHAP DU LIEU"/>
      <sheetName val="ESTI."/>
      <sheetName val="DI-ESTI"/>
      <sheetName val="HE SO"/>
      <sheetName val="Sheet2"/>
      <sheetName val="SILICATE"/>
      <sheetName val="SL dau tien"/>
      <sheetName val="HSKVUC"/>
      <sheetName val="TH kinh phi"/>
      <sheetName val="GVT"/>
      <sheetName val="camayTT01"/>
      <sheetName val="tl"/>
      <sheetName val="tra-vat-lieu"/>
      <sheetName val="Liet ke"/>
      <sheetName val="TBA XDM"/>
      <sheetName val="Quantity"/>
      <sheetName val="DINH_MUC"/>
      <sheetName val="TH_KHOAN"/>
      <sheetName val="Tro gi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htdt"/>
      <sheetName val="thcpk"/>
      <sheetName val="dtxl"/>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HQT"/>
      <sheetName val="bia"/>
      <sheetName val="THTT"/>
      <sheetName val="TH"/>
      <sheetName val="TH§Z6Kv"/>
      <sheetName val="VLNCZ6kV"/>
      <sheetName val="CTDZ 6kV"/>
      <sheetName val="THTBA"/>
      <sheetName val="VLNCTBA"/>
      <sheetName val="CTTBA"/>
      <sheetName val="THdz0,4"/>
      <sheetName val="Vlncdz0,4cto"/>
      <sheetName val="CTDZ 0.4+cto"/>
      <sheetName val="TH6- 1"/>
      <sheetName val="vlnc6-1"/>
      <sheetName val="ct6-1"/>
      <sheetName val="THTBA-1"/>
      <sheetName val="vlnctba-1"/>
      <sheetName val="cttba-1"/>
      <sheetName val="th0,4-1"/>
      <sheetName val="vlnc0,4cto-1"/>
      <sheetName val="ct0,4cto-1"/>
      <sheetName val="vc"/>
      <sheetName val="CTbe tong"/>
      <sheetName val="Trongluong"/>
      <sheetName val="XXXXXXXX"/>
      <sheetName val="XXXXXXX0"/>
      <sheetName val="XL4Poppy"/>
      <sheetName val="CTDZ 0_4_cto"/>
      <sheetName val="TNHCHINH"/>
      <sheetName val="BC.TN"/>
      <sheetName val="MSTN"/>
      <sheetName val="Bai 5.1"/>
      <sheetName val="TT_10KV"/>
      <sheetName val="TKP"/>
      <sheetName val="TONGKE3p "/>
      <sheetName val="TDTK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XL4Poppy"/>
      <sheetName val="Thep be"/>
      <sheetName val="Thep than"/>
      <sheetName val="Thep xa mu"/>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XXXXXXXX"/>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1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BA"/>
      <sheetName val="Netbook"/>
      <sheetName val="DZ"/>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142201-T1-th"/>
      <sheetName val="142201-T1 "/>
      <sheetName val="142201-T2-th "/>
      <sheetName val="142201-T2"/>
      <sheetName val="142201-T3-th "/>
      <sheetName val="142201-T3"/>
      <sheetName val="142201-T4-th  "/>
      <sheetName val="142201-T4"/>
      <sheetName val="142201-T6"/>
      <sheetName val="142201-T10"/>
      <sheetName val="km248"/>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Song trai"/>
      <sheetName val="Dinh+ha nha"/>
      <sheetName val="PTLK"/>
      <sheetName val="NG k"/>
      <sheetName val="THcong"/>
      <sheetName val="BHXH"/>
      <sheetName val="BHXH12"/>
      <sheetName val="Sheet8"/>
      <sheetName val="Sheet9"/>
      <sheetName val="Sheet6"/>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THVDT"/>
      <sheetName val="NCLD"/>
      <sheetName val="MMTB"/>
      <sheetName val="CFSX"/>
      <sheetName val="KQ"/>
      <sheetName val="DTSL"/>
      <sheetName val="XDCBK"/>
      <sheetName val="KHTSCD"/>
      <sheetName val="XDCB"/>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Congty"/>
      <sheetName val="VPPN"/>
      <sheetName val="XN74"/>
      <sheetName val="XN54"/>
      <sheetName val="XN33"/>
      <sheetName val="NK96"/>
      <sheetName val="XL4Test5"/>
      <sheetName val="KM"/>
      <sheetName val="KHOANMUC"/>
      <sheetName val="QTNC"/>
      <sheetName val="CPQL"/>
      <sheetName val="SANLUONG"/>
      <sheetName val="SSCP-SL"/>
      <sheetName val="CPSX"/>
      <sheetName val="CDSL (2)"/>
      <sheetName val="F ThanhTri"/>
      <sheetName val="F Gialam"/>
      <sheetName val="DG"/>
      <sheetName val="TH dam"/>
      <sheetName val="SX dam"/>
      <sheetName val="LD dam"/>
      <sheetName val="Bang gia VL"/>
      <sheetName val="Gia NC"/>
      <sheetName val="Gia may"/>
      <sheetName val="tb1"/>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phan tich DG"/>
      <sheetName val="gia vat lieu"/>
      <sheetName val="gia xe may"/>
      <sheetName val="gia nhan cong"/>
      <sheetName val="Trich Ngang"/>
      <sheetName val="Danh sach Rieng"/>
      <sheetName val="Dia Diem Thuc Tap"/>
      <sheetName val="De Tai Thuc Tap"/>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Tonghop"/>
      <sheetName val="Sheet7"/>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TH"/>
      <sheetName val="Sheet10"/>
      <sheetName val="HHVt "/>
      <sheetName val="Thau"/>
      <sheetName val="CT-BT"/>
      <sheetName val="Xa"/>
      <sheetName val="socai2003-6tc"/>
      <sheetName val="SCT Cong trinh"/>
      <sheetName val="06-2003 (2)"/>
      <sheetName val="CDPS 6tc"/>
      <sheetName val="SCT Nha thau"/>
      <sheetName val="socai2003 (6tc)dp"/>
      <sheetName val="socai2003 (6tc)"/>
      <sheetName val="CDPS 6tc (2)"/>
      <sheetName val="20000000"/>
      <sheetName val="TH du toan "/>
      <sheetName val="Du toan "/>
      <sheetName val="C.Tinh"/>
      <sheetName val="TK_cap"/>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 KQTH quy hoach 135"/>
      <sheetName val="Bao cao KQTH quy hoach 135"/>
      <sheetName val="XXXXXX_xda24_X"/>
      <sheetName val="D1"/>
      <sheetName val="D2"/>
      <sheetName val="D3"/>
      <sheetName val="D4"/>
      <sheetName val="D5"/>
      <sheetName val="D6"/>
      <sheetName val="Tay ninh"/>
      <sheetName val="A.Duc"/>
      <sheetName val="TH2003"/>
      <sheetName val="T03 - 03"/>
      <sheetName val="AncaT03"/>
      <sheetName val="THL T03"/>
      <sheetName val="TTBC T03"/>
      <sheetName val="Luong noi Bo - T3"/>
      <sheetName val="Tong hop - T3"/>
      <sheetName val="Thuong Quy 3"/>
      <sheetName val="LBS"/>
      <sheetName val="Phu cap trach nhiem"/>
      <sheetName val="CamPha"/>
      <sheetName val="MongCai"/>
      <sheetName val="30000000"/>
      <sheetName val="40000000"/>
      <sheetName val="50000000"/>
      <sheetName val="60000000"/>
      <sheetName val="70000000"/>
      <sheetName val="Co~g hop 1,5x1,5"/>
      <sheetName val="Heso 3-2004 (3)"/>
      <sheetName val="Luong (2)"/>
      <sheetName val="heso T3"/>
      <sheetName val="heso T4"/>
      <sheetName val="heso T5"/>
      <sheetName val="Heso T6"/>
      <sheetName val="Heso T7"/>
      <sheetName val="Heso T8"/>
      <sheetName val="Heso T9"/>
      <sheetName val="Heso 2-2004"/>
      <sheetName val="Heso 3-2004"/>
      <sheetName val="chamcong"/>
      <sheetName val="Baocao"/>
      <sheetName val="Heso 3-2004 (2)"/>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BangTH"/>
      <sheetName val="Xaylap "/>
      <sheetName val="Nhan cong"/>
      <sheetName val="Thietbi"/>
      <sheetName val="Diengiai"/>
      <sheetName val="Vanchuyen"/>
      <sheetName val="CT 03"/>
      <sheetName val="TH 03"/>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GIA NUOC"/>
      <sheetName val="GIA DIEN THOAI"/>
      <sheetName val="GIA DIEN"/>
      <sheetName val="chiet tinh XD"/>
      <sheetName val="Triet T"/>
      <sheetName val="Phan tich gia"/>
      <sheetName val="pHAN CONG"/>
      <sheetName val="GIA XD"/>
      <sheetName val="CV di trong  dong"/>
      <sheetName val="Sheet12"/>
      <sheetName val="bg+th45"/>
      <sheetName val="4-5"/>
      <sheetName val="bg+th34"/>
      <sheetName val="3-4"/>
      <sheetName val="bg+th23"/>
      <sheetName val="2-3"/>
      <sheetName val="bg+th12"/>
      <sheetName val="1-2"/>
      <sheetName val="bg+th"/>
      <sheetName val="ptvl"/>
      <sheetName val="0-1"/>
      <sheetName val="Nhap lieu"/>
      <sheetName val="PGT"/>
      <sheetName val="Tien dien"/>
      <sheetName val="Thue GTGT"/>
      <sheetName val="[IBASE2.XLSѝTNHNoi"/>
      <sheetName val="TH_BQ"/>
      <sheetName val="cn"/>
      <sheetName val="ct"/>
      <sheetName val="Nc"/>
      <sheetName val="pt"/>
      <sheetName val="ql"/>
      <sheetName val="ql (2)"/>
      <sheetName val="4"/>
      <sheetName val="Sheet13"/>
      <sheetName val="Sheet14"/>
      <sheetName val="Sheet15"/>
      <sheetName val="Sheet16"/>
      <sheetName val="Km282-Km_x0003__x0000_3"/>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HD1"/>
      <sheetName val="HD4"/>
      <sheetName val="HD3"/>
      <sheetName val="HD5"/>
      <sheetName val="HD7"/>
      <sheetName val="HD6"/>
      <sheetName val="HD2"/>
      <sheetName val="20+590"/>
      <sheetName val="20+1218"/>
      <sheetName val="22+456"/>
      <sheetName val="23+200"/>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bcth 05-04"/>
      <sheetName val="baocao 05-04"/>
      <sheetName val="bcth04-04"/>
      <sheetName val="baocao04-04"/>
      <sheetName val="bcth03-04"/>
      <sheetName val="baocao03-04"/>
      <sheetName val="bcth02-04"/>
      <sheetName val="baocao02-04"/>
      <sheetName val="bcth01-04"/>
      <sheetName val="baocao01-04"/>
      <sheetName val="Thi_sinh"/>
      <sheetName val="Luong"/>
      <sheetName val="HethongDebai"/>
      <sheetName val="TH131"/>
      <sheetName val="TH155&amp;156"/>
      <sheetName val="TH152"/>
      <sheetName val="TH153"/>
      <sheetName val="01"/>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0</v>
          </cell>
          <cell r="AM70">
            <v>0</v>
          </cell>
          <cell r="AN70">
            <v>0</v>
          </cell>
          <cell r="AO70">
            <v>0</v>
          </cell>
          <cell r="AP70">
            <v>0</v>
          </cell>
          <cell r="AQ70">
            <v>0</v>
          </cell>
          <cell r="AR70">
            <v>0</v>
          </cell>
          <cell r="AS70">
            <v>0</v>
          </cell>
          <cell r="AT70">
            <v>0</v>
          </cell>
          <cell r="AU70">
            <v>0</v>
          </cell>
          <cell r="AV70">
            <v>406</v>
          </cell>
        </row>
        <row r="71">
          <cell r="AI71" t="str">
            <v xml:space="preserve">SILICONE RESIN </v>
          </cell>
          <cell r="AJ71" t="str">
            <v>4340(U-400)</v>
          </cell>
          <cell r="AK71" t="str">
            <v>SP34(VA-51)</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0</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refreshError="1"/>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refreshError="1"/>
      <sheetData sheetId="681" refreshError="1"/>
      <sheetData sheetId="682" refreshError="1"/>
      <sheetData sheetId="683" refreshError="1"/>
      <sheetData sheetId="684" refreshError="1"/>
      <sheetData sheetId="685" refreshError="1"/>
      <sheetData sheetId="686" refreshError="1"/>
      <sheetData sheetId="687"/>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ESTI."/>
      <sheetName val="DI-ESTI"/>
      <sheetName val="canh (2)"/>
      <sheetName val="canh"/>
      <sheetName val="Sheet1"/>
      <sheetName val="Sheet2"/>
      <sheetName val="Bang Don gia II"/>
      <sheetName val="Sheet3"/>
      <sheetName val="XL4Poppy"/>
      <sheetName val="切割 MTL"/>
      <sheetName val="切割 DI"/>
      <sheetName val="BTH Phieu thu"/>
      <sheetName val="BTH Phieu chi"/>
      <sheetName val="NK-SC"/>
      <sheetName val="SCT NVL"/>
      <sheetName val="NK SO CAI"/>
      <sheetName val="SCT TK 331"/>
      <sheetName val="So CFSXKD"/>
      <sheetName val="SCT  TK 131"/>
      <sheetName val="So TGNH 2003"/>
      <sheetName val="So quy TM 2002"/>
      <sheetName val="The tinh Z"/>
      <sheetName val="So kho nguyen vat lieu"/>
      <sheetName val="BTH NVL"/>
      <sheetName val="So theo doi thue GTGT"/>
      <sheetName val="BC thanh QT hoa don nam 2003"/>
      <sheetName val="00000000"/>
      <sheetName val="Chart1"/>
      <sheetName val="Chart2"/>
      <sheetName val="Sheet4"/>
      <sheetName val="MAU_A"/>
      <sheetName val="MAU_B"/>
      <sheetName val="MAU_C"/>
      <sheetName val="MAU E -XCD"/>
      <sheetName val="MAU E -TDS1"/>
      <sheetName val="MAU E- NDH"/>
      <sheetName val="__ MTL"/>
      <sheetName val="__ DI"/>
      <sheetName val="Giao"/>
      <sheetName val="CHIET TINH"/>
      <sheetName val="Bang gia Ca May"/>
      <sheetName val="Bang Gia VL"/>
      <sheetName val="Tong Hop KP"/>
      <sheetName val=" DON GIA"/>
      <sheetName val="CHIET TINH THEO KH.SAT"/>
      <sheetName val="CAN DOI"/>
      <sheetName val="GIA TRI"/>
      <sheetName val="NO-DIEN"/>
      <sheetName val="NO-KHUONG"/>
      <sheetName val="NO-DUNG"/>
      <sheetName val="NO-DU"/>
      <sheetName val="TC NV"/>
      <sheetName val="NHAP"/>
      <sheetName val="khuong"/>
      <sheetName val="du"/>
      <sheetName val="dien"/>
      <sheetName val="dung"/>
      <sheetName val="NO-BANG"/>
      <sheetName val="ton kho"/>
      <sheetName val="bang"/>
      <sheetName val="10000000"/>
      <sheetName val="TH9"/>
      <sheetName val="TH12"/>
      <sheetName val="thang 1"/>
      <sheetName val="thang2"/>
      <sheetName val="Thang 3"/>
      <sheetName val="thang5"/>
      <sheetName val="thang4"/>
      <sheetName val="00000001"/>
      <sheetName val="CTP"/>
      <sheetName val="LUONG"/>
      <sheetName val="lphi"/>
      <sheetName val="PLTT"/>
      <sheetName val="KTPLVP"/>
      <sheetName val="KTPL2"/>
      <sheetName val="KHKPHT7-02"/>
      <sheetName val="KHKPHT9-02"/>
      <sheetName val="KHKPHT8-02"/>
      <sheetName val="KHKPHT10-02 "/>
      <sheetName val="lptinh"/>
      <sheetName val="UHNN"/>
      <sheetName val="BHYT02"/>
      <sheetName val="TLL"/>
      <sheetName val="TLL (2)"/>
      <sheetName val="TLLhuyen"/>
      <sheetName val="Dsach"/>
      <sheetName val="TCONG"/>
      <sheetName val="KHKPHT1-02"/>
      <sheetName val="ththdt"/>
      <sheetName val="CPTHU"/>
      <sheetName val="THKPCHD"/>
      <sheetName val="QD100"/>
      <sheetName val="KHKPHT-T6-02"/>
      <sheetName val="XL4Popş_x000d_"/>
      <sheetName val="ESTI_"/>
      <sheetName val="DI_ESTI"/>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giao nv TH chong qua tai dot 3"/>
      <sheetName val="ton tai cac tram dong dien"/>
      <sheetName val="chong qua tai dot 3"/>
      <sheetName val="cac du an"/>
      <sheetName val="Chong qua tai dot 3 moi"/>
      <sheetName val="H.so tram chong qua tai dot 3"/>
      <sheetName val="cac tram dong dien"/>
      <sheetName val="Bieu ngang"/>
      <sheetName val="T.van gs"/>
      <sheetName val="23 tram von WB"/>
      <sheetName val="Chi phi den bu A"/>
      <sheetName val="Daily"/>
      <sheetName val="Data-input"/>
      <sheetName val="Data"/>
      <sheetName val="TK12"/>
      <sheetName val="XXXXXXXX"/>
      <sheetName val="THKP"/>
      <sheetName val="HTchieusang"/>
      <sheetName val="HTdien"/>
      <sheetName val="CUNG CAP VAT TU"/>
      <sheetName val="TH.LIST CAP"/>
      <sheetName val="S3LIST CAP&amp;ONGDL"/>
      <sheetName val="S2LIST CAP&amp;ONGDL"/>
      <sheetName val="S1LIST CAP&amp;ONGDL"/>
      <sheetName val="NGUONGOCVATTU"/>
      <sheetName val="capdongluc"/>
      <sheetName val="KLMOI THAU"/>
      <sheetName val="20000000"/>
      <sheetName val="30000000"/>
      <sheetName val="40000000"/>
      <sheetName val="50000000"/>
      <sheetName val="60000000"/>
      <sheetName val="XXXXXXX0"/>
      <sheetName val="TINHNEN"/>
      <sheetName val="Nen VN"/>
      <sheetName val="TCT DIEN LUC (EVN)"/>
      <sheetName val="RPT"/>
      <sheetName val="MTL$-INTER"/>
      <sheetName val="Gia VL"/>
      <sheetName val="Bang luong CB"/>
      <sheetName val="Bang P.tich CT"/>
      <sheetName val="D.toan chi tiet"/>
      <sheetName val="Bang TH Dtoan"/>
      <sheetName val="DTOAN"/>
      <sheetName val="THOP-KL"/>
      <sheetName val="CPHI KKS"/>
      <sheetName val="DG-KSAT"/>
      <sheetName val="TMDAUTU"/>
      <sheetName val="GTXLCHINH"/>
      <sheetName val="CPHI-TT"/>
      <sheetName val="CPHIBUVL"/>
      <sheetName val="CHENH VLCHINH"/>
      <sheetName val="GVLHT"/>
      <sheetName val="DGCT-QCH2"/>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Bthkl"/>
      <sheetName val="KM247"/>
      <sheetName val="km248"/>
      <sheetName val="VL"/>
      <sheetName val="NHAN CONG"/>
      <sheetName val="MAY"/>
      <sheetName val="VUA"/>
      <sheetName val="DG CAU"/>
      <sheetName val="THOP CAU"/>
      <sheetName val="TLP CAU"/>
      <sheetName val="DAKT1"/>
      <sheetName val="XL4Test5"/>
      <sheetName val="XL4Poppy (2)"/>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KSTK"/>
      <sheetName val="A6-II"/>
      <sheetName val="Congty"/>
      <sheetName val="VPPN"/>
      <sheetName val="XN74"/>
      <sheetName val="XN54"/>
      <sheetName val="XN33"/>
      <sheetName val="NK96"/>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tong hop"/>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caodothietke"/>
      <sheetName val="TK331A"/>
      <sheetName val="TK131B"/>
      <sheetName val="TK131A"/>
      <sheetName val="TK 331c1"/>
      <sheetName val="TK331C"/>
      <sheetName val="CT331-2003"/>
      <sheetName val="CT 331"/>
      <sheetName val="CT131-2003"/>
      <sheetName val="CT 131"/>
      <sheetName val="TK331B"/>
      <sheetName val="Du an nut So"/>
      <sheetName val="Du an nut vong"/>
      <sheetName val="Du an nut Nam cau Tlong"/>
      <sheetName val="Duong kim lien 0 cho dua"/>
      <sheetName val="Du an KTDC Nam trung yen"/>
      <sheetName val="Thang 8"/>
      <sheetName val="Macro1"/>
      <sheetName val="Macro2"/>
      <sheetName val="Macro3"/>
      <sheetName val="DTCT"/>
      <sheetName val="PTVT"/>
      <sheetName val="THDT"/>
      <sheetName val="THVT"/>
      <sheetName val="THGT"/>
      <sheetName val="THANG 09"/>
      <sheetName val="THANG 10"/>
      <sheetName val="C47-456"/>
      <sheetName val="C46"/>
      <sheetName val="C47-PII"/>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Duong con' vu hcm (8)"/>
      <sheetName val="TRUC TIEP"/>
      <sheetName val="GIAN TIEP"/>
      <sheetName val="HOP DONG"/>
      <sheetName val="CON LINH"/>
      <sheetName val="Qheet3"/>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GTXLC@INH"/>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RPT.xlsၝCmay"/>
      <sheetName val="Bang 聧ia ca may"/>
      <sheetName val="[RPT.x"/>
      <sheetName val=" quy I-2005"/>
      <sheetName val="Quy 2- 2005 "/>
      <sheetName val="Quy III- 2005 "/>
      <sheetName val="Quy 4- 2005"/>
      <sheetName val=""/>
      <sheetName val="tienluong"/>
      <sheetName val="km346+00-km346_x000b_240 (2)"/>
      <sheetName val="km342+297._x0015_8-km342+376.41"/>
      <sheetName val="km341+1077 -km34_x0011_+1177.61"/>
      <sheetName val="pt0-1"/>
      <sheetName val="kp0-1"/>
      <sheetName val="0-1"/>
      <sheetName val="pt2-3"/>
      <sheetName val="thkp2-3"/>
      <sheetName val="clvl"/>
      <sheetName val="2-3"/>
      <sheetName val="cl1-2"/>
      <sheetName val="thkp1-2"/>
      <sheetName val="clvl1-2"/>
      <sheetName val="1-2"/>
      <sheetName val="N_x0008_AN CONG"/>
      <sheetName val="K251 _x0001_C"/>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Duïng cong vu hcm (13;) (2)"/>
      <sheetName val="?? MTL"/>
      <sheetName val="?? DI"/>
      <sheetName val="gVL"/>
      <sheetName val="Bang ?ia ca may"/>
      <sheetName val="[RPT.xls?Cmay"/>
      <sheetName val="km338+00-km33Oé100(2)"/>
      <sheetName val="Duong cong vu hcm (8;) (:)"/>
      <sheetName val="Duofg cong vu hcm (7;) (2)"/>
      <sheetName val="km337+533î60-km3ó4 (2)"/>
      <sheetName val="Ë261"/>
      <sheetName val="K261_x0000_Base"/>
      <sheetName val="K2_x0016_1 AC"/>
      <sheetName val="CON(LINH"/>
      <sheetName val="CHEKe VLCHINH"/>
      <sheetName val="XL4Popş_x000a_"/>
    </sheetNames>
    <sheetDataSet>
      <sheetData sheetId="0" refreshError="1">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1"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A10" t="str">
            <v>5S</v>
          </cell>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L29">
            <v>0</v>
          </cell>
          <cell r="M29">
            <v>0</v>
          </cell>
          <cell r="N29">
            <v>0</v>
          </cell>
          <cell r="O29">
            <v>0</v>
          </cell>
          <cell r="P29">
            <v>3</v>
          </cell>
          <cell r="Q29">
            <v>0</v>
          </cell>
          <cell r="R29">
            <v>0</v>
          </cell>
        </row>
        <row r="30">
          <cell r="A30">
            <v>25</v>
          </cell>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cell r="Q30">
            <v>0</v>
          </cell>
          <cell r="R30">
            <v>0</v>
          </cell>
        </row>
        <row r="31">
          <cell r="A31">
            <v>26</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cell r="Q31">
            <v>0</v>
          </cell>
          <cell r="R31">
            <v>0</v>
          </cell>
        </row>
        <row r="32">
          <cell r="A32">
            <v>27</v>
          </cell>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cell r="Q32">
            <v>0</v>
          </cell>
          <cell r="R32">
            <v>0</v>
          </cell>
        </row>
        <row r="33">
          <cell r="A33">
            <v>28</v>
          </cell>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cell r="Q33">
            <v>0</v>
          </cell>
          <cell r="R33">
            <v>0</v>
          </cell>
        </row>
        <row r="34">
          <cell r="A34">
            <v>29</v>
          </cell>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cell r="Q34">
            <v>0</v>
          </cell>
          <cell r="R34">
            <v>0</v>
          </cell>
        </row>
        <row r="35">
          <cell r="A35">
            <v>30</v>
          </cell>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cell r="Q35">
            <v>0</v>
          </cell>
          <cell r="R35">
            <v>0</v>
          </cell>
        </row>
        <row r="36">
          <cell r="A36">
            <v>31</v>
          </cell>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cell r="Q36">
            <v>0</v>
          </cell>
          <cell r="R36">
            <v>0</v>
          </cell>
        </row>
        <row r="37">
          <cell r="A37">
            <v>32</v>
          </cell>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cell r="Q37">
            <v>0</v>
          </cell>
          <cell r="R37">
            <v>0</v>
          </cell>
        </row>
        <row r="38">
          <cell r="A38">
            <v>33</v>
          </cell>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cell r="Q38">
            <v>0</v>
          </cell>
          <cell r="R38">
            <v>0</v>
          </cell>
        </row>
        <row r="39">
          <cell r="A39">
            <v>34</v>
          </cell>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cell r="Q39">
            <v>0</v>
          </cell>
          <cell r="R39">
            <v>0</v>
          </cell>
        </row>
        <row r="40">
          <cell r="A40">
            <v>35</v>
          </cell>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cell r="Q40">
            <v>0</v>
          </cell>
          <cell r="R40">
            <v>0</v>
          </cell>
        </row>
        <row r="41">
          <cell r="A41">
            <v>36</v>
          </cell>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cell r="Q41">
            <v>0</v>
          </cell>
          <cell r="R41">
            <v>0</v>
          </cell>
        </row>
        <row r="42">
          <cell r="A42">
            <v>37</v>
          </cell>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cell r="Q42">
            <v>0</v>
          </cell>
          <cell r="R42">
            <v>0</v>
          </cell>
        </row>
        <row r="43">
          <cell r="A43">
            <v>38</v>
          </cell>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cell r="Q43">
            <v>0</v>
          </cell>
          <cell r="R43">
            <v>0</v>
          </cell>
        </row>
        <row r="44">
          <cell r="A44">
            <v>39</v>
          </cell>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cell r="Q44">
            <v>0</v>
          </cell>
          <cell r="R44">
            <v>0</v>
          </cell>
        </row>
        <row r="45">
          <cell r="A45" t="str">
            <v>AVE.</v>
          </cell>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cell r="Q45">
            <v>0</v>
          </cell>
          <cell r="R45">
            <v>0</v>
          </cell>
        </row>
        <row r="46">
          <cell r="B46">
            <v>10</v>
          </cell>
          <cell r="C46">
            <v>22</v>
          </cell>
          <cell r="D46">
            <v>6.35</v>
          </cell>
          <cell r="E46">
            <v>1</v>
          </cell>
          <cell r="I46">
            <v>2.23</v>
          </cell>
          <cell r="J46">
            <v>2.27</v>
          </cell>
          <cell r="K46">
            <v>4.5</v>
          </cell>
          <cell r="P46">
            <v>8</v>
          </cell>
        </row>
        <row r="47">
          <cell r="A47" t="str">
            <v>*** Reference Paper : Predict Fittings For Piping Systems ***</v>
          </cell>
          <cell r="B47">
            <v>10</v>
          </cell>
          <cell r="C47">
            <v>24</v>
          </cell>
          <cell r="D47">
            <v>6.35</v>
          </cell>
          <cell r="E47">
            <v>1</v>
          </cell>
          <cell r="I47">
            <v>2.4300000000000002</v>
          </cell>
          <cell r="J47">
            <v>2.0699999999999998</v>
          </cell>
          <cell r="K47">
            <v>4.5</v>
          </cell>
          <cell r="P47">
            <v>8</v>
          </cell>
          <cell r="R47" t="str">
            <v>Fc = 2.00  Manifold Type Piping</v>
          </cell>
        </row>
        <row r="48">
          <cell r="B48">
            <v>10</v>
          </cell>
          <cell r="C48">
            <v>26</v>
          </cell>
          <cell r="D48">
            <v>7.92</v>
          </cell>
          <cell r="E48">
            <v>1</v>
          </cell>
          <cell r="I48">
            <v>2.64</v>
          </cell>
          <cell r="J48">
            <v>4.8600000000000003</v>
          </cell>
          <cell r="K48">
            <v>7.5</v>
          </cell>
          <cell r="P48">
            <v>9</v>
          </cell>
          <cell r="R48" t="str">
            <v xml:space="preserve">        (PIPE JOINT FACTOR Fp = 0%)</v>
          </cell>
        </row>
        <row r="49">
          <cell r="B49">
            <v>10</v>
          </cell>
          <cell r="C49">
            <v>28</v>
          </cell>
          <cell r="D49">
            <v>7.92</v>
          </cell>
          <cell r="E49">
            <v>1</v>
          </cell>
          <cell r="I49">
            <v>2.84</v>
          </cell>
          <cell r="J49">
            <v>5.26</v>
          </cell>
          <cell r="K49">
            <v>8.1</v>
          </cell>
          <cell r="P49">
            <v>9</v>
          </cell>
          <cell r="R49" t="str">
            <v>Fc = 4.00  Very Complex Manifolds</v>
          </cell>
        </row>
        <row r="50">
          <cell r="A50" t="str">
            <v>The number and types of pipe fittings can be estimated by this method</v>
          </cell>
          <cell r="B50">
            <v>10</v>
          </cell>
          <cell r="C50">
            <v>30</v>
          </cell>
          <cell r="D50">
            <v>7.92</v>
          </cell>
          <cell r="E50">
            <v>1</v>
          </cell>
          <cell r="I50">
            <v>3.04</v>
          </cell>
          <cell r="J50">
            <v>5.66</v>
          </cell>
          <cell r="K50">
            <v>8.6999999999999993</v>
          </cell>
          <cell r="P50">
            <v>10</v>
          </cell>
          <cell r="R50" t="str">
            <v xml:space="preserve">        (PIPE JOINT FACTOR Fp = 0%)</v>
          </cell>
        </row>
        <row r="51">
          <cell r="A51" t="str">
            <v>long before the piping isometrics are done. Pipe size and a general idea</v>
          </cell>
          <cell r="B51">
            <v>10</v>
          </cell>
          <cell r="C51">
            <v>32</v>
          </cell>
          <cell r="D51">
            <v>7.92</v>
          </cell>
          <cell r="E51">
            <v>1</v>
          </cell>
          <cell r="I51">
            <v>3.24</v>
          </cell>
          <cell r="J51">
            <v>6.06</v>
          </cell>
          <cell r="K51">
            <v>9.3000000000000007</v>
          </cell>
          <cell r="P51">
            <v>11</v>
          </cell>
        </row>
        <row r="52">
          <cell r="A52" t="str">
            <v>of the system's complexity are all that is needed.</v>
          </cell>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cell r="Q55" t="str">
            <v xml:space="preserve">S_x0001_N_x0002_1a_x0000__x0017_T«n nÒn b»ng c¸t ®Çm kü_x0002_m3_x0000_%X©y mãng ®¸ </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O81">
            <v>2</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F90">
            <v>0</v>
          </cell>
          <cell r="G90">
            <v>0</v>
          </cell>
          <cell r="H90">
            <v>2.2251287283221441E-307</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J146">
            <v>0</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F175">
            <v>0</v>
          </cell>
          <cell r="G175">
            <v>0</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J190">
            <v>8.42</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J220">
            <v>0</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A245">
            <v>0</v>
          </cell>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H269">
            <v>0</v>
          </cell>
          <cell r="I269">
            <v>7.0000000000000007E-2</v>
          </cell>
          <cell r="J269">
            <v>0</v>
          </cell>
          <cell r="K269">
            <v>7.0000000000000007E-2</v>
          </cell>
          <cell r="M269">
            <v>0</v>
          </cell>
          <cell r="P269">
            <v>2</v>
          </cell>
          <cell r="R269">
            <v>0</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F344">
            <v>0</v>
          </cell>
          <cell r="I344">
            <v>0.51</v>
          </cell>
          <cell r="J344">
            <v>4.29</v>
          </cell>
          <cell r="K344">
            <v>4.8</v>
          </cell>
          <cell r="L344">
            <v>4</v>
          </cell>
          <cell r="O344">
            <v>160</v>
          </cell>
          <cell r="P344">
            <v>4</v>
          </cell>
          <cell r="Q344">
            <v>0</v>
          </cell>
          <cell r="R344">
            <v>7.2784507436844332E-312</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J375">
            <v>0</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F412">
            <v>0</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F478">
            <v>0</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refreshError="1"/>
      <sheetData sheetId="499" refreshError="1"/>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refreshError="1"/>
      <sheetData sheetId="567"/>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sheetData sheetId="579"/>
      <sheetData sheetId="580" refreshError="1"/>
      <sheetData sheetId="581" refreshError="1"/>
      <sheetData sheetId="58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 val="DI_ESTI"/>
    </sheetNames>
    <sheetDataSet>
      <sheetData sheetId="0" refreshError="1"/>
      <sheetData sheetId="1" refreshError="1"/>
      <sheetData sheetId="2"/>
      <sheetData sheetId="3"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4"/>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ESTI."/>
      <sheetName val="DI-ESTI"/>
      <sheetName val="Loai-4-5"/>
      <sheetName val="om"/>
      <sheetName val="OM6"/>
      <sheetName val="om05"/>
      <sheetName val="NSU"/>
      <sheetName val="XL4Test5"/>
      <sheetName val="00000000"/>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SPL4-TOTAL"/>
      <sheetName val="Input"/>
      <sheetName val="ctdg"/>
      <sheetName val="ptdg "/>
      <sheetName val="ptke"/>
      <sheetName val="ptdg"/>
      <sheetName val="IBASE"/>
      <sheetName val="(24)-Truc 9"/>
      <sheetName val="DCV"/>
      <sheetName val="clecÿÿt"/>
      <sheetName val="ÿÿngia"/>
      <sheetName val="Da ta"/>
      <sheetName val="1"/>
      <sheetName val="2"/>
      <sheetName val="3"/>
      <sheetName val="4"/>
      <sheetName val="5"/>
      <sheetName val="6"/>
      <sheetName val="7"/>
      <sheetName val="8"/>
      <sheetName val="DATA"/>
      <sheetName val="CHITIET VL-NC-TT1p"/>
      <sheetName val="TONGKE3p"/>
      <sheetName val="ptv_x0000_"/>
      <sheetName val="Du toan"/>
      <sheetName val="Phan tich vat tu"/>
      <sheetName val="Tong hop vat tu"/>
      <sheetName val="Gia tri vat tu"/>
      <sheetName val="chenh lech"/>
      <sheetName val="Chenh lech vat tu"/>
      <sheetName val="Chi phi van chuyen"/>
      <sheetName val="Don gia chi tiet"/>
      <sheetName val="TKLUONG1-2"/>
      <sheetName val="CTKLT1-2"/>
      <sheetName val="Tong hop kinh phi"/>
      <sheetName val="Bia du toan"/>
      <sheetName val="Tro giup"/>
      <sheetName val="Config"/>
      <sheetName val="DON GIA"/>
      <sheetName val="khung ten TD"/>
      <sheetName val="CHITIET VL-NC"/>
      <sheetName val="QTCNVHHK"/>
      <sheetName val="ptv?"/>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ESTI_"/>
      <sheetName val="ptdg_"/>
      <sheetName val="(24)-Truc_9"/>
      <sheetName val="CHITIET_VL-NC-TT1p"/>
      <sheetName val="khung_ten_TD"/>
      <sheetName val="CHITIET VL-NCHT1 (2)"/>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O LIEU"/>
      <sheetName val=" XE 43K"/>
      <sheetName val="gvl"/>
      <sheetName val="ptv_"/>
      <sheetName val="khluong"/>
      <sheetName val="Giai trinh"/>
      <sheetName val="ptdgD"/>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1"/>
      <sheetName val="KL_CONG_TO1"/>
      <sheetName val="VL_DAU_THAU1"/>
      <sheetName val="TH_DZ0,41"/>
      <sheetName val="VL-NC_DZ0,41"/>
      <sheetName val="TH_THAO_DO1"/>
      <sheetName val="VL-NC-MTC_thao_do1"/>
      <sheetName val="CT_THAO_DO1"/>
      <sheetName val="KL_Thao_Do1"/>
      <sheetName val="ESTI_1"/>
      <sheetName val="ptdg_1"/>
      <sheetName val="(24)-Truc_91"/>
      <sheetName val="khung_ten_TD1"/>
      <sheetName val="DON_GIA"/>
      <sheetName val="CHITIET_VL-NC-TT1p1"/>
      <sheetName val="SO_LIEU"/>
      <sheetName val="Du_toan"/>
      <sheetName val="Phan_tich_vat_tu"/>
      <sheetName val="Tong_hop_vat_tu"/>
      <sheetName val="Gia_tri_vat_tu"/>
      <sheetName val="chenh_lech"/>
      <sheetName val="Chenh_lech_vat_tu"/>
      <sheetName val="Chi_phi_van_chuyen"/>
      <sheetName val="Don_gia_chi_tiet"/>
      <sheetName val="Tong_hop_kinh_phi"/>
      <sheetName val="Bia_du_toan"/>
      <sheetName val="Tro_giup"/>
      <sheetName val="CHITIET_VL-NC"/>
      <sheetName val="CHITIET_VL-NCHT1_(2)"/>
      <sheetName val="_XE_43K"/>
      <sheetName val="Du_toan1"/>
      <sheetName val="Phan_tich_vat_tu1"/>
      <sheetName val="Tong_hop_vat_tu1"/>
      <sheetName val="Gia_tri_vat_tu1"/>
      <sheetName val="chenh_lech1"/>
      <sheetName val="Chenh_lech_vat_tu1"/>
      <sheetName val="Chi_phi_van_chuyen1"/>
      <sheetName val="Don_gia_chi_tiet1"/>
      <sheetName val="Tong_hop_kinh_phi1"/>
      <sheetName val="Bia_du_toan1"/>
      <sheetName val="Tro_giup1"/>
      <sheetName val="ESTI_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2"/>
      <sheetName val="KL_CONG_TO2"/>
      <sheetName val="VL_DAU_THAU2"/>
      <sheetName val="TH_DZ0,42"/>
      <sheetName val="VL-NC_DZ0,42"/>
      <sheetName val="TH_THAO_DO2"/>
      <sheetName val="VL-NC-MTC_thao_do2"/>
      <sheetName val="CT_THAO_DO2"/>
      <sheetName val="KL_Thao_Do2"/>
      <sheetName val="ptdg_2"/>
      <sheetName val="(24)-Truc_92"/>
      <sheetName val="Du_toan2"/>
      <sheetName val="Phan_tich_vat_tu2"/>
      <sheetName val="Tong_hop_vat_tu2"/>
      <sheetName val="Gia_tri_vat_tu2"/>
      <sheetName val="chenh_lech2"/>
      <sheetName val="Chenh_lech_vat_tu2"/>
      <sheetName val="Chi_phi_van_chuyen2"/>
      <sheetName val="Don_gia_chi_tiet2"/>
      <sheetName val="Tong_hop_kinh_phi2"/>
      <sheetName val="Bia_du_toan2"/>
      <sheetName val="Tro_giup2"/>
      <sheetName val="khung_ten_TD2"/>
      <sheetName val="ESTI_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3"/>
      <sheetName val="KL_CONG_TO3"/>
      <sheetName val="VL_DAU_THAU3"/>
      <sheetName val="TH_DZ0,43"/>
      <sheetName val="VL-NC_DZ0,43"/>
      <sheetName val="TH_THAO_DO3"/>
      <sheetName val="VL-NC-MTC_thao_do3"/>
      <sheetName val="CT_THAO_DO3"/>
      <sheetName val="KL_Thao_Do3"/>
      <sheetName val="ptdg_3"/>
      <sheetName val="(24)-Truc_93"/>
      <sheetName val="Du_toan3"/>
      <sheetName val="Phan_tich_vat_tu3"/>
      <sheetName val="Tong_hop_vat_tu3"/>
      <sheetName val="Gia_tri_vat_tu3"/>
      <sheetName val="chenh_lech3"/>
      <sheetName val="Chenh_lech_vat_tu3"/>
      <sheetName val="Chi_phi_van_chuyen3"/>
      <sheetName val="Don_gia_chi_tiet3"/>
      <sheetName val="Tong_hop_kinh_phi3"/>
      <sheetName val="Bia_du_toan3"/>
      <sheetName val="Tro_giup3"/>
      <sheetName val="khung_ten_TD3"/>
      <sheetName val="Du_lieu"/>
      <sheetName val="Tke"/>
      <sheetName val="TKHT"/>
      <sheetName val="Bang 4.5_Bang TH vl-nc-m Ct"/>
      <sheetName val="Bang 4.2_Vl-Nc-M phan TT1pha"/>
      <sheetName val="Bang 4.1_Vl-Nc-M phan TT3pha"/>
      <sheetName val="Bang 4.1_Vl-Nc-M phan N.cap"/>
      <sheetName val="Bang 4.3_Bang TH vl-nc-m HTDL"/>
      <sheetName val="Bang 4.4_Bang TH vl-nc-m HTHH"/>
      <sheetName val="Bang 5_Chi tiet phan Dz"/>
      <sheetName val="CT-35"/>
      <sheetName val="CT-0.4KV"/>
      <sheetName val="KKKKKKKK"/>
      <sheetName val="dtxl"/>
      <sheetName val="BK-C T"/>
      <sheetName val="PP1PXDM"/>
      <sheetName val="PP3PXDM"/>
      <sheetName val="Sheet1"/>
      <sheetName val="Sheet2"/>
      <sheetName val="Sheet3"/>
      <sheetName val="XL4Poppy"/>
      <sheetName val="Thuc thanh"/>
      <sheetName val="Xlc5nguyhiem"/>
      <sheetName val="CosoXL"/>
      <sheetName val="KhuTG"/>
      <sheetName val="10000000"/>
      <sheetName val="DI_ESTI"/>
      <sheetName val="PTCT-1"/>
      <sheetName val="thang12"/>
      <sheetName val="thang11"/>
      <sheetName val="thang10"/>
      <sheetName val="thang9"/>
      <sheetName val="thang8"/>
      <sheetName val="thang7"/>
      <sheetName val="thang6"/>
      <sheetName val="thang5"/>
      <sheetName val="thang4"/>
      <sheetName val="thang3"/>
      <sheetName val="thang2"/>
      <sheetName val="thang1"/>
      <sheetName val="THDT"/>
      <sheetName val="THDG"/>
      <sheetName val="CTBT"/>
      <sheetName val="CPBT"/>
      <sheetName val="TB"/>
      <sheetName val="VC"/>
      <sheetName val="BANG KE"/>
      <sheetName val="giathanh1"/>
      <sheetName val="DS-nop"/>
      <sheetName val="BC-ThuChi"/>
      <sheetName val="DS-nop T10.03"/>
      <sheetName val="DS-nop T12.03"/>
      <sheetName val="DS nop quý IV"/>
      <sheetName val="DS nop quý IV.04"/>
      <sheetName val="DSnop quý III.04"/>
      <sheetName val="DSnop quý II.04"/>
      <sheetName val="DSnop quý I.04"/>
      <sheetName val="DS-nop T11.03"/>
      <sheetName val="CT cong?to"/>
      <sheetName val="CT cong_x0000_to"/>
      <sheetName val="DL2"/>
      <sheetName val="CT cong_to"/>
      <sheetName val="CT cong"/>
      <sheetName val="KH-Q1,Q2,01"/>
      <sheetName val="TDTKP"/>
      <sheetName val="DG3285"/>
      <sheetName val="phi"/>
      <sheetName val="Sheet4"/>
      <sheetName val="#pkhac"/>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4"/>
      <sheetName val="KL_CONG_TO4"/>
      <sheetName val="VL_DAU_THAU4"/>
      <sheetName val="TH_DZ0,44"/>
      <sheetName val="VL-NC_DZ0,44"/>
      <sheetName val="TH_THAO_DO4"/>
      <sheetName val="VL-NC-MTC_thao_do4"/>
      <sheetName val="CT_THAO_DO4"/>
      <sheetName val="KL_Thao_Do4"/>
      <sheetName val="ESTI_4"/>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CT_cong_to5"/>
      <sheetName val="KL_CONG_TO5"/>
      <sheetName val="VL_DAU_THAU5"/>
      <sheetName val="TH_DZ0,45"/>
      <sheetName val="VL-NC_DZ0,45"/>
      <sheetName val="TH_THAO_DO5"/>
      <sheetName val="VL-NC-MTC_thao_do5"/>
      <sheetName val="CT_THAO_DO5"/>
      <sheetName val="KL_Thao_Do5"/>
      <sheetName val="ESTI_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CT_cong_to6"/>
      <sheetName val="KL_CONG_TO6"/>
      <sheetName val="VL_DAU_THAU6"/>
      <sheetName val="TH_DZ0,46"/>
      <sheetName val="VL-NC_DZ0,46"/>
      <sheetName val="TH_THAO_DO6"/>
      <sheetName val="VL-NC-MTC_thao_do6"/>
      <sheetName val="CT_THAO_DO6"/>
      <sheetName val="KL_Thao_Do6"/>
      <sheetName val="ESTI_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CT_cong_to7"/>
      <sheetName val="KL_CONG_TO7"/>
      <sheetName val="VL_DAU_THAU7"/>
      <sheetName val="TH_DZ0,47"/>
      <sheetName val="VL-NC_DZ0,47"/>
      <sheetName val="TH_THAO_DO7"/>
      <sheetName val="VL-NC-MTC_thao_do7"/>
      <sheetName val="CT_THAO_DO7"/>
      <sheetName val="KL_Thao_Do7"/>
      <sheetName val="ESTI_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CT_cong_to8"/>
      <sheetName val="KL_CONG_TO8"/>
      <sheetName val="VL_DAU_THAU8"/>
      <sheetName val="TH_DZ0,48"/>
      <sheetName val="VL-NC_DZ0,48"/>
      <sheetName val="TH_THAO_DO8"/>
      <sheetName val="VL-NC-MTC_thao_do8"/>
      <sheetName val="CT_THAO_DO8"/>
      <sheetName val="KL_Thao_Do8"/>
      <sheetName val="ESTI_8"/>
      <sheetName val="NEW-PANEL"/>
      <sheetName val="Tổng kê"/>
      <sheetName val="TONG HOP VL-NC TT"/>
      <sheetName val="CHITIET VL-NC-TT -1p"/>
      <sheetName val="TDTKP1"/>
      <sheetName val="KPVC-BD "/>
      <sheetName val="PL1"/>
      <sheetName val="PL2"/>
      <sheetName val="PL3"/>
      <sheetName val="PL4"/>
      <sheetName val="ptdgC"/>
      <sheetName val="PTDG ks"/>
      <sheetName val="bt lt 32-79"/>
      <sheetName val="TNHCHINH"/>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H9">
            <v>43.36</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H10">
            <v>3.33</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I11">
            <v>7.34</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I12">
            <v>2.83</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H13">
            <v>0.69</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H14">
            <v>0.77</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H15">
            <v>0.16</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19">
          <cell r="A19" t="str">
            <v>205.110</v>
          </cell>
          <cell r="B19" t="str">
            <v>Xáy tæåìng 11_x0010_ gaûch äúng væîa_x0000_XM M50 cao &lt;= 4m</v>
          </cell>
          <cell r="C19" t="str">
            <v>m3</v>
          </cell>
          <cell r="D19">
            <v>41.357100000000003</v>
          </cell>
          <cell r="E19">
            <v>6.2</v>
          </cell>
          <cell r="F19">
            <v>1127.1600000000001</v>
          </cell>
          <cell r="K19">
            <v>0</v>
          </cell>
          <cell r="L19">
            <v>0</v>
          </cell>
          <cell r="M19">
            <v>0</v>
          </cell>
          <cell r="N19">
            <v>0</v>
          </cell>
          <cell r="O19">
            <v>0</v>
          </cell>
          <cell r="P19">
            <v>0</v>
          </cell>
          <cell r="Q19">
            <v>0</v>
          </cell>
          <cell r="R19">
            <v>0.53</v>
          </cell>
          <cell r="S19">
            <v>8.02</v>
          </cell>
          <cell r="T19">
            <v>0</v>
          </cell>
          <cell r="U19">
            <v>0</v>
          </cell>
          <cell r="V19">
            <v>0</v>
          </cell>
          <cell r="W19">
            <v>0</v>
          </cell>
          <cell r="X19">
            <v>0</v>
          </cell>
        </row>
        <row r="20">
          <cell r="A20">
            <v>0</v>
          </cell>
          <cell r="B20" t="str">
            <v>II. THÁN NHAÌ :</v>
          </cell>
          <cell r="C20">
            <v>0</v>
          </cell>
          <cell r="D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H21">
            <v>9.4</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H22">
            <v>0.24</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H23">
            <v>7.35</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H24">
            <v>0.85</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H25">
            <v>24.71</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H26">
            <v>1.99</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H28">
            <v>0.16</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H29">
            <v>1.1000000000000001</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I30">
            <v>0.97</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I31">
            <v>1.75</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I32">
            <v>0.24</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H33">
            <v>0.09</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H34">
            <v>7.0000000000000007E-2</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H35">
            <v>0.08</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F36">
            <v>10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H37">
            <v>0.51</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I38">
            <v>5.3</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H39">
            <v>1.86</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F40">
            <v>99</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I46">
            <v>3.2</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I47">
            <v>0.66</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H48">
            <v>1.1299999999999999</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H49">
            <v>1.96</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F50">
            <v>57</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I52">
            <v>0.4</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H53">
            <v>0.36</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H60">
            <v>0.28999999999999998</v>
          </cell>
          <cell r="M60">
            <v>713.4</v>
          </cell>
        </row>
        <row r="61">
          <cell r="A61" t="str">
            <v>651.140</v>
          </cell>
          <cell r="B61" t="str">
            <v>Traït båì chaíy væîa XM M75 daìy 15</v>
          </cell>
          <cell r="C61" t="str">
            <v>m2</v>
          </cell>
          <cell r="D61">
            <v>11.88</v>
          </cell>
          <cell r="E61">
            <v>0.2</v>
          </cell>
          <cell r="F61">
            <v>51.51</v>
          </cell>
          <cell r="H61">
            <v>0.22</v>
          </cell>
        </row>
        <row r="62">
          <cell r="A62" t="str">
            <v>701.120</v>
          </cell>
          <cell r="B62" t="str">
            <v>Queït väi båì chaíy 3 næåïc tràõng</v>
          </cell>
          <cell r="C62" t="str">
            <v>m2</v>
          </cell>
          <cell r="D62">
            <v>11.88</v>
          </cell>
          <cell r="E62">
            <v>0</v>
          </cell>
          <cell r="F62">
            <v>0</v>
          </cell>
          <cell r="H62">
            <v>0</v>
          </cell>
          <cell r="S62">
            <v>3.56</v>
          </cell>
        </row>
        <row r="63">
          <cell r="A63" t="str">
            <v>651.420</v>
          </cell>
          <cell r="B63" t="str">
            <v>Traït chè næåïc sã nä</v>
          </cell>
          <cell r="C63" t="str">
            <v>m</v>
          </cell>
          <cell r="D63">
            <v>33.200000000000003</v>
          </cell>
          <cell r="E63">
            <v>0.15</v>
          </cell>
          <cell r="F63">
            <v>38.630000000000003</v>
          </cell>
          <cell r="H63">
            <v>0.17</v>
          </cell>
        </row>
        <row r="64">
          <cell r="A64">
            <v>0</v>
          </cell>
          <cell r="B64" t="str">
            <v>IV. KHU VÃÛ SINH - BÃØ TÆÛ HOAÛI - BÃÚP - HÄÚ GA :</v>
          </cell>
          <cell r="C64">
            <v>0</v>
          </cell>
          <cell r="D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row>
        <row r="66">
          <cell r="A66" t="str">
            <v>204.410</v>
          </cell>
          <cell r="B66" t="str">
            <v xml:space="preserve">Xáy thaình bãø næåïc khu vãû sinh daìy 110 væîa XM M75 </v>
          </cell>
          <cell r="C66" t="str">
            <v>m3</v>
          </cell>
          <cell r="D66">
            <v>0.65</v>
          </cell>
          <cell r="E66">
            <v>0.2</v>
          </cell>
          <cell r="F66">
            <v>51.51</v>
          </cell>
          <cell r="H66">
            <v>0.22</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H67">
            <v>0.1</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H68">
            <v>0.2</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F69">
            <v>8</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H70">
            <v>1.69</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H71">
            <v>0.25</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H74">
            <v>3.45</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H75">
            <v>1.68</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F76">
            <v>74</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H77">
            <v>0.25</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H78">
            <v>0.31</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I79">
            <v>1.18</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H81">
            <v>0.27</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H82">
            <v>0.26</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I84">
            <v>0.28999999999999998</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H85">
            <v>0.2</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H89">
            <v>0.36</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H90">
            <v>0.39</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I91">
            <v>0.2</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I94">
            <v>3.7</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I95">
            <v>2.35</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I97">
            <v>0.3</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H98">
            <v>0.41</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F99">
            <v>25</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H100">
            <v>0.15</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H101">
            <v>0.26</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H102">
            <v>0.19</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H103">
            <v>0.13</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H104">
            <v>0.23</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H105">
            <v>0.17</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F106">
            <v>53</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H111">
            <v>0.32</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H112">
            <v>0.13</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H117">
            <v>2.19</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H118">
            <v>0.23</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H119">
            <v>0.26</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H120">
            <v>0.5</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H121">
            <v>0.34</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H122">
            <v>0.66</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I125">
            <v>1.51</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H126">
            <v>0.66</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refreshError="1">
        <row r="6">
          <cell r="A6">
            <v>1</v>
          </cell>
          <cell r="B6">
            <v>2</v>
          </cell>
          <cell r="C6">
            <v>3</v>
          </cell>
          <cell r="D6">
            <v>4</v>
          </cell>
          <cell r="E6">
            <v>5</v>
          </cell>
          <cell r="F6">
            <v>6</v>
          </cell>
          <cell r="G6">
            <v>7</v>
          </cell>
          <cell r="H6">
            <v>8</v>
          </cell>
          <cell r="I6">
            <v>9</v>
          </cell>
          <cell r="J6">
            <v>10</v>
          </cell>
          <cell r="K6">
            <v>11</v>
          </cell>
        </row>
        <row r="7">
          <cell r="B7" t="str">
            <v>I. NÃÖN MOÏNG :</v>
          </cell>
          <cell r="C7">
            <v>0</v>
          </cell>
          <cell r="D7">
            <v>0</v>
          </cell>
          <cell r="E7">
            <v>190.81</v>
          </cell>
          <cell r="F7">
            <v>0</v>
          </cell>
          <cell r="G7">
            <v>0</v>
          </cell>
          <cell r="H7">
            <v>136.96</v>
          </cell>
          <cell r="I7">
            <v>1218.76</v>
          </cell>
          <cell r="J7">
            <v>0</v>
          </cell>
          <cell r="K7">
            <v>23.45</v>
          </cell>
        </row>
        <row r="8">
          <cell r="A8">
            <v>1</v>
          </cell>
          <cell r="B8" t="str">
            <v xml:space="preserve">Gia cäng sàõt theïp f &lt;= 10 moïng cäüt </v>
          </cell>
          <cell r="C8" t="str">
            <v>kg</v>
          </cell>
          <cell r="D8">
            <v>12.43</v>
          </cell>
          <cell r="E8">
            <v>12.43</v>
          </cell>
          <cell r="F8">
            <v>0</v>
          </cell>
          <cell r="G8">
            <v>0</v>
          </cell>
          <cell r="H8">
            <v>0</v>
          </cell>
          <cell r="I8">
            <v>0</v>
          </cell>
          <cell r="J8">
            <v>0</v>
          </cell>
          <cell r="K8">
            <v>0.27</v>
          </cell>
        </row>
        <row r="9">
          <cell r="A9">
            <v>2</v>
          </cell>
          <cell r="B9" t="str">
            <v xml:space="preserve">Gia cäng sàõt theïp f &lt;= 18 moïng cäüt </v>
          </cell>
          <cell r="C9" t="str">
            <v>kg</v>
          </cell>
          <cell r="D9">
            <v>229.89000000000001</v>
          </cell>
          <cell r="E9">
            <v>0</v>
          </cell>
          <cell r="F9">
            <v>0</v>
          </cell>
          <cell r="G9">
            <v>0</v>
          </cell>
          <cell r="H9">
            <v>136.96</v>
          </cell>
          <cell r="I9">
            <v>92.93</v>
          </cell>
          <cell r="J9">
            <v>0</v>
          </cell>
          <cell r="K9">
            <v>3.28</v>
          </cell>
        </row>
        <row r="10">
          <cell r="A10">
            <v>3</v>
          </cell>
          <cell r="B10" t="str">
            <v xml:space="preserve">Gia cäng sàõt theïp giàòng moïng f &lt;= 18 </v>
          </cell>
          <cell r="C10" t="str">
            <v>kg</v>
          </cell>
          <cell r="D10">
            <v>1125.83</v>
          </cell>
          <cell r="E10">
            <v>0</v>
          </cell>
          <cell r="F10">
            <v>0</v>
          </cell>
          <cell r="G10">
            <v>0</v>
          </cell>
          <cell r="H10">
            <v>0</v>
          </cell>
          <cell r="I10">
            <v>1125.83</v>
          </cell>
          <cell r="J10">
            <v>0</v>
          </cell>
          <cell r="K10">
            <v>16.079999999999998</v>
          </cell>
        </row>
        <row r="11">
          <cell r="A11">
            <v>4</v>
          </cell>
          <cell r="B11" t="str">
            <v>Gia cäng sàõt theïp giàòng moïng f &lt;= 10</v>
          </cell>
          <cell r="C11" t="str">
            <v>kg</v>
          </cell>
          <cell r="D11">
            <v>178.38</v>
          </cell>
          <cell r="E11">
            <v>178.38</v>
          </cell>
          <cell r="F11">
            <v>0</v>
          </cell>
          <cell r="G11">
            <v>0</v>
          </cell>
          <cell r="H11">
            <v>0</v>
          </cell>
          <cell r="I11">
            <v>0</v>
          </cell>
          <cell r="J11">
            <v>0</v>
          </cell>
          <cell r="K11">
            <v>3.82</v>
          </cell>
        </row>
        <row r="12">
          <cell r="B12" t="str">
            <v>II. THÁN NHAÌ :</v>
          </cell>
          <cell r="C12">
            <v>0</v>
          </cell>
          <cell r="D12">
            <v>0</v>
          </cell>
          <cell r="E12">
            <v>228.7</v>
          </cell>
          <cell r="F12">
            <v>0</v>
          </cell>
          <cell r="G12">
            <v>0</v>
          </cell>
          <cell r="H12">
            <v>548.23</v>
          </cell>
          <cell r="I12">
            <v>558.33999999999992</v>
          </cell>
          <cell r="J12">
            <v>176.46</v>
          </cell>
          <cell r="K12">
            <v>23.22</v>
          </cell>
        </row>
        <row r="13">
          <cell r="A13">
            <v>1</v>
          </cell>
          <cell r="B13" t="str">
            <v>Gia cäng sàõt theïp truû f &lt;= 10</v>
          </cell>
          <cell r="C13" t="str">
            <v>kg</v>
          </cell>
          <cell r="D13">
            <v>23.02</v>
          </cell>
          <cell r="E13">
            <v>23.02</v>
          </cell>
          <cell r="F13">
            <v>0</v>
          </cell>
          <cell r="G13">
            <v>0</v>
          </cell>
          <cell r="H13">
            <v>0</v>
          </cell>
          <cell r="I13">
            <v>0</v>
          </cell>
          <cell r="J13">
            <v>0</v>
          </cell>
          <cell r="K13">
            <v>0.49</v>
          </cell>
        </row>
        <row r="14">
          <cell r="A14">
            <v>2</v>
          </cell>
          <cell r="B14" t="str">
            <v>Gia cäng sàõt theïp truû f &lt;= 18</v>
          </cell>
          <cell r="C14" t="str">
            <v>kg</v>
          </cell>
          <cell r="D14">
            <v>143.26</v>
          </cell>
          <cell r="E14">
            <v>0</v>
          </cell>
          <cell r="F14">
            <v>0</v>
          </cell>
          <cell r="G14">
            <v>0</v>
          </cell>
          <cell r="H14">
            <v>0</v>
          </cell>
          <cell r="I14">
            <v>143.26</v>
          </cell>
          <cell r="J14">
            <v>0</v>
          </cell>
          <cell r="K14">
            <v>2.0499999999999998</v>
          </cell>
        </row>
        <row r="15">
          <cell r="A15">
            <v>3</v>
          </cell>
          <cell r="B15" t="str">
            <v>Gia cäng sàõt theïp lanh tä f &lt;= 10</v>
          </cell>
          <cell r="C15" t="str">
            <v>kg</v>
          </cell>
          <cell r="D15">
            <v>49.419999999999995</v>
          </cell>
          <cell r="E15">
            <v>49.419999999999995</v>
          </cell>
          <cell r="F15">
            <v>0</v>
          </cell>
          <cell r="G15">
            <v>0</v>
          </cell>
          <cell r="H15">
            <v>0</v>
          </cell>
          <cell r="I15">
            <v>0</v>
          </cell>
          <cell r="J15">
            <v>0</v>
          </cell>
          <cell r="K15">
            <v>1.06</v>
          </cell>
        </row>
        <row r="16">
          <cell r="A16">
            <v>4</v>
          </cell>
          <cell r="B16" t="str">
            <v>Gia cäng sàõt theïp lanh tä f &lt;= 18</v>
          </cell>
          <cell r="C16" t="str">
            <v>kg</v>
          </cell>
          <cell r="D16">
            <v>210.44000000000003</v>
          </cell>
          <cell r="E16">
            <v>0</v>
          </cell>
          <cell r="F16">
            <v>0</v>
          </cell>
          <cell r="G16">
            <v>0</v>
          </cell>
          <cell r="H16">
            <v>210.44000000000003</v>
          </cell>
          <cell r="I16">
            <v>0</v>
          </cell>
          <cell r="J16">
            <v>0</v>
          </cell>
          <cell r="K16">
            <v>3.01</v>
          </cell>
        </row>
        <row r="17">
          <cell r="A17">
            <v>5</v>
          </cell>
          <cell r="B17" t="str">
            <v>Gia cäng sàõt theïp ä vàng f &lt;= 10</v>
          </cell>
          <cell r="C17" t="str">
            <v>kg</v>
          </cell>
          <cell r="D17">
            <v>17.02</v>
          </cell>
          <cell r="E17">
            <v>17.02</v>
          </cell>
          <cell r="F17">
            <v>0</v>
          </cell>
          <cell r="G17">
            <v>0</v>
          </cell>
          <cell r="H17">
            <v>0</v>
          </cell>
          <cell r="I17">
            <v>0</v>
          </cell>
          <cell r="J17">
            <v>0</v>
          </cell>
          <cell r="K17">
            <v>0.36</v>
          </cell>
        </row>
        <row r="18">
          <cell r="A18">
            <v>6</v>
          </cell>
          <cell r="B18" t="str">
            <v>Gia cäng sàõt theïp dáöm f &lt;= 18</v>
          </cell>
          <cell r="C18" t="str">
            <v>kg</v>
          </cell>
          <cell r="D18">
            <v>929.33</v>
          </cell>
          <cell r="E18">
            <v>0</v>
          </cell>
          <cell r="F18">
            <v>0</v>
          </cell>
          <cell r="G18">
            <v>0</v>
          </cell>
          <cell r="H18">
            <v>337.78999999999996</v>
          </cell>
          <cell r="I18">
            <v>415.08</v>
          </cell>
          <cell r="J18">
            <v>176.46</v>
          </cell>
          <cell r="K18">
            <v>13.27</v>
          </cell>
        </row>
        <row r="19">
          <cell r="A19">
            <v>7</v>
          </cell>
          <cell r="B19" t="str">
            <v>Gia cäng sàõt theïp dáöm f &lt;= 10</v>
          </cell>
          <cell r="C19" t="str">
            <v>kg</v>
          </cell>
          <cell r="D19">
            <v>139.24</v>
          </cell>
          <cell r="E19">
            <v>139.24</v>
          </cell>
          <cell r="F19">
            <v>0</v>
          </cell>
          <cell r="G19">
            <v>0</v>
          </cell>
          <cell r="H19">
            <v>0</v>
          </cell>
          <cell r="I19">
            <v>0</v>
          </cell>
          <cell r="J19">
            <v>0</v>
          </cell>
          <cell r="K19">
            <v>2.98</v>
          </cell>
        </row>
        <row r="20">
          <cell r="B20" t="str">
            <v>III. TRÁÖN + MAÏI NHAÌ :</v>
          </cell>
          <cell r="C20">
            <v>0</v>
          </cell>
          <cell r="D20">
            <v>0</v>
          </cell>
          <cell r="E20">
            <v>199.06</v>
          </cell>
          <cell r="F20">
            <v>183.28</v>
          </cell>
          <cell r="G20">
            <v>0</v>
          </cell>
          <cell r="H20">
            <v>52.21</v>
          </cell>
          <cell r="I20">
            <v>0</v>
          </cell>
          <cell r="J20">
            <v>0</v>
          </cell>
          <cell r="K20">
            <v>10.02</v>
          </cell>
        </row>
        <row r="21">
          <cell r="A21">
            <v>1</v>
          </cell>
          <cell r="B21" t="str">
            <v xml:space="preserve">Gia cäng sàõt theïp saìn maïi , sã nä f &lt;= 10 </v>
          </cell>
          <cell r="C21" t="str">
            <v>kg</v>
          </cell>
          <cell r="D21">
            <v>416.59000000000003</v>
          </cell>
          <cell r="E21">
            <v>182.55</v>
          </cell>
          <cell r="F21">
            <v>183.28</v>
          </cell>
          <cell r="G21">
            <v>0</v>
          </cell>
          <cell r="H21">
            <v>0</v>
          </cell>
          <cell r="I21">
            <v>0</v>
          </cell>
          <cell r="J21">
            <v>0</v>
          </cell>
          <cell r="K21">
            <v>8.92</v>
          </cell>
        </row>
        <row r="22">
          <cell r="A22">
            <v>2</v>
          </cell>
          <cell r="B22" t="str">
            <v>Gia cäng sàõt theïp lam ngang f &lt;= 18</v>
          </cell>
          <cell r="C22" t="str">
            <v>kg</v>
          </cell>
          <cell r="D22">
            <v>52.21</v>
          </cell>
          <cell r="E22">
            <v>0</v>
          </cell>
          <cell r="F22">
            <v>0</v>
          </cell>
          <cell r="G22">
            <v>0</v>
          </cell>
          <cell r="H22">
            <v>52.21</v>
          </cell>
          <cell r="I22">
            <v>0</v>
          </cell>
          <cell r="J22">
            <v>0</v>
          </cell>
          <cell r="K22">
            <v>0.75</v>
          </cell>
        </row>
        <row r="23">
          <cell r="A23">
            <v>3</v>
          </cell>
          <cell r="B23" t="str">
            <v>Gia cäng sàõt theïp lam ngang f &lt;= 10</v>
          </cell>
          <cell r="C23" t="str">
            <v>kg</v>
          </cell>
          <cell r="D23">
            <v>16.509999999999998</v>
          </cell>
          <cell r="E23">
            <v>16.509999999999998</v>
          </cell>
          <cell r="F23">
            <v>0</v>
          </cell>
          <cell r="G23">
            <v>0</v>
          </cell>
          <cell r="H23">
            <v>0</v>
          </cell>
          <cell r="I23">
            <v>0</v>
          </cell>
          <cell r="J23">
            <v>0</v>
          </cell>
          <cell r="K23">
            <v>0.35</v>
          </cell>
        </row>
        <row r="24">
          <cell r="B24" t="str">
            <v>IV. KHU VÃÛ SINH - BÃØ TÆÛ HOAÛI - BÃÚP - HÄÚ GA :</v>
          </cell>
          <cell r="C24">
            <v>0</v>
          </cell>
          <cell r="D24">
            <v>0</v>
          </cell>
          <cell r="E24">
            <v>99.4</v>
          </cell>
          <cell r="F24">
            <v>0</v>
          </cell>
          <cell r="G24">
            <v>0</v>
          </cell>
          <cell r="H24">
            <v>0</v>
          </cell>
          <cell r="I24">
            <v>0</v>
          </cell>
          <cell r="J24">
            <v>0</v>
          </cell>
          <cell r="K24">
            <v>2.12</v>
          </cell>
        </row>
        <row r="25">
          <cell r="A25">
            <v>1</v>
          </cell>
          <cell r="B25" t="str">
            <v>Gia cäng sàõt theïp táúm âan f &lt;= 10</v>
          </cell>
          <cell r="C25" t="str">
            <v>kg</v>
          </cell>
          <cell r="D25">
            <v>61.849999999999994</v>
          </cell>
          <cell r="E25">
            <v>61.849999999999994</v>
          </cell>
          <cell r="F25">
            <v>0</v>
          </cell>
          <cell r="G25">
            <v>0</v>
          </cell>
          <cell r="H25">
            <v>0</v>
          </cell>
          <cell r="I25">
            <v>0</v>
          </cell>
          <cell r="J25">
            <v>0</v>
          </cell>
          <cell r="K25">
            <v>1.32</v>
          </cell>
        </row>
        <row r="26">
          <cell r="B26" t="str">
            <v xml:space="preserve">c, Bãúp : </v>
          </cell>
          <cell r="C26">
            <v>0</v>
          </cell>
        </row>
        <row r="27">
          <cell r="A27">
            <v>1</v>
          </cell>
          <cell r="B27" t="str">
            <v>Gia cäng sàõt theïp bãû bãúp f &lt;= 10</v>
          </cell>
          <cell r="C27" t="str">
            <v>kg</v>
          </cell>
          <cell r="D27">
            <v>18.899999999999999</v>
          </cell>
          <cell r="E27">
            <v>18.899999999999999</v>
          </cell>
          <cell r="F27">
            <v>0</v>
          </cell>
          <cell r="G27">
            <v>0</v>
          </cell>
          <cell r="H27">
            <v>0</v>
          </cell>
          <cell r="I27">
            <v>0</v>
          </cell>
          <cell r="J27">
            <v>0</v>
          </cell>
          <cell r="K27">
            <v>0.4</v>
          </cell>
        </row>
        <row r="28">
          <cell r="B28" t="str">
            <v>d, Häú ga :</v>
          </cell>
          <cell r="C28">
            <v>0</v>
          </cell>
        </row>
        <row r="29">
          <cell r="A29">
            <v>1</v>
          </cell>
          <cell r="B29" t="str">
            <v>Gia cäng sàõt theïp táúm âan f &lt;= 10</v>
          </cell>
          <cell r="C29" t="str">
            <v>kg</v>
          </cell>
          <cell r="D29">
            <v>18.649999999999999</v>
          </cell>
          <cell r="E29">
            <v>18.649999999999999</v>
          </cell>
          <cell r="F29">
            <v>0</v>
          </cell>
          <cell r="G29">
            <v>0</v>
          </cell>
          <cell r="H29">
            <v>0</v>
          </cell>
          <cell r="I29">
            <v>0</v>
          </cell>
          <cell r="J29">
            <v>0</v>
          </cell>
          <cell r="K29">
            <v>0.4</v>
          </cell>
        </row>
        <row r="30">
          <cell r="B30" t="str">
            <v xml:space="preserve">V. THAÏP NÆÅÏC </v>
          </cell>
          <cell r="C30">
            <v>0</v>
          </cell>
          <cell r="D30">
            <v>0</v>
          </cell>
          <cell r="E30">
            <v>194.42</v>
          </cell>
          <cell r="F30">
            <v>0</v>
          </cell>
          <cell r="G30">
            <v>0</v>
          </cell>
          <cell r="H30">
            <v>218.31</v>
          </cell>
          <cell r="I30">
            <v>31.46</v>
          </cell>
          <cell r="J30">
            <v>286.93</v>
          </cell>
          <cell r="K30">
            <v>11.830000000000002</v>
          </cell>
        </row>
        <row r="31">
          <cell r="A31">
            <v>1</v>
          </cell>
          <cell r="B31" t="str">
            <v>Gia cäng sàõt theïp moïng cäüt f &lt;= 10</v>
          </cell>
          <cell r="C31" t="str">
            <v>kg</v>
          </cell>
          <cell r="D31">
            <v>25.57</v>
          </cell>
          <cell r="E31">
            <v>25.57</v>
          </cell>
          <cell r="F31">
            <v>0</v>
          </cell>
          <cell r="G31">
            <v>0</v>
          </cell>
          <cell r="H31">
            <v>0</v>
          </cell>
          <cell r="I31">
            <v>0</v>
          </cell>
          <cell r="J31">
            <v>0</v>
          </cell>
          <cell r="K31">
            <v>0.55000000000000004</v>
          </cell>
        </row>
        <row r="32">
          <cell r="A32">
            <v>2</v>
          </cell>
          <cell r="B32" t="str">
            <v>Gia cäng sàõt theïp moïng cäüt f &lt;= 18</v>
          </cell>
          <cell r="C32" t="str">
            <v>kg</v>
          </cell>
          <cell r="D32">
            <v>213.12</v>
          </cell>
          <cell r="E32">
            <v>0</v>
          </cell>
          <cell r="F32">
            <v>0</v>
          </cell>
          <cell r="G32">
            <v>0</v>
          </cell>
          <cell r="H32">
            <v>139.81</v>
          </cell>
          <cell r="I32">
            <v>0</v>
          </cell>
          <cell r="J32">
            <v>73.31</v>
          </cell>
          <cell r="K32">
            <v>3.04</v>
          </cell>
        </row>
        <row r="33">
          <cell r="A33">
            <v>3</v>
          </cell>
          <cell r="B33" t="str">
            <v>Gia cäng sàõt theïp thaïp næåïc f &lt;= 18</v>
          </cell>
          <cell r="C33" t="str">
            <v>kg</v>
          </cell>
          <cell r="D33">
            <v>323.57999999999993</v>
          </cell>
          <cell r="E33">
            <v>0</v>
          </cell>
          <cell r="F33">
            <v>0</v>
          </cell>
          <cell r="G33">
            <v>0</v>
          </cell>
          <cell r="H33">
            <v>78.5</v>
          </cell>
          <cell r="I33">
            <v>31.46</v>
          </cell>
          <cell r="J33">
            <v>213.62</v>
          </cell>
          <cell r="K33">
            <v>4.62</v>
          </cell>
        </row>
        <row r="34">
          <cell r="A34">
            <v>4</v>
          </cell>
          <cell r="B34" t="str">
            <v>Gia cäng sàõt theïp thaïp næåïc f &lt;= 10</v>
          </cell>
          <cell r="C34" t="str">
            <v>kg</v>
          </cell>
          <cell r="D34">
            <v>168.85</v>
          </cell>
          <cell r="E34">
            <v>168.85</v>
          </cell>
          <cell r="F34">
            <v>0</v>
          </cell>
          <cell r="G34">
            <v>0</v>
          </cell>
          <cell r="H34">
            <v>0</v>
          </cell>
          <cell r="I34">
            <v>0</v>
          </cell>
          <cell r="J34">
            <v>0</v>
          </cell>
          <cell r="K34">
            <v>3.62</v>
          </cell>
        </row>
        <row r="35">
          <cell r="B35" t="str">
            <v xml:space="preserve">VIII. HAÌNG RAÌO - CÄØNG NGOÎ </v>
          </cell>
          <cell r="C35">
            <v>0</v>
          </cell>
          <cell r="D35">
            <v>0</v>
          </cell>
          <cell r="E35">
            <v>45.02</v>
          </cell>
          <cell r="F35">
            <v>0</v>
          </cell>
          <cell r="G35">
            <v>192.5</v>
          </cell>
          <cell r="H35">
            <v>0</v>
          </cell>
          <cell r="I35">
            <v>0</v>
          </cell>
          <cell r="J35">
            <v>0</v>
          </cell>
          <cell r="K35">
            <v>5.09</v>
          </cell>
        </row>
        <row r="36">
          <cell r="B36" t="str">
            <v>2, tæåìng raìo :</v>
          </cell>
          <cell r="C36">
            <v>0</v>
          </cell>
        </row>
        <row r="37">
          <cell r="A37">
            <v>1</v>
          </cell>
          <cell r="B37" t="str">
            <v>Gia cäng sàõt theïp cäüt f &lt;= 10</v>
          </cell>
          <cell r="C37" t="str">
            <v>kg</v>
          </cell>
          <cell r="D37">
            <v>237.52</v>
          </cell>
          <cell r="E37">
            <v>45.02</v>
          </cell>
          <cell r="F37">
            <v>0</v>
          </cell>
          <cell r="G37">
            <v>192.5</v>
          </cell>
          <cell r="H37">
            <v>0</v>
          </cell>
          <cell r="I37">
            <v>0</v>
          </cell>
          <cell r="J37">
            <v>0</v>
          </cell>
          <cell r="K37">
            <v>5.09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tienluong"/>
      <sheetName val="CTdongia"/>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Giai trinh"/>
      <sheetName val="Thuc thanh"/>
      <sheetName val="sat"/>
      <sheetName val="ptvt"/>
      <sheetName val="CTNTTH"/>
      <sheetName val="ptdgD"/>
      <sheetName val="XL4Poppy"/>
      <sheetName val="LoaiDay"/>
      <sheetName val="Tongke"/>
      <sheetName val="chitiet"/>
      <sheetName val="DG "/>
      <sheetName val="1111"/>
      <sheetName val="LAM NHA"/>
      <sheetName val="rebar"/>
      <sheetName val="tra-vat-lieu"/>
      <sheetName val="OFFGRID"/>
      <sheetName val="Bang chiet tinh TBA"/>
      <sheetName val="dtxl"/>
      <sheetName val="DATA"/>
      <sheetName val="Don gia"/>
      <sheetName val="gvl"/>
      <sheetName val="CT35"/>
      <sheetName val="IBASE"/>
      <sheetName val="MTO REV.2(ARMOR)"/>
      <sheetName val="KH-Q1,Q2,01"/>
      <sheetName val="ESTI."/>
      <sheetName val="DI-ESTI"/>
      <sheetName val="Tien Luong"/>
      <sheetName val="䁔HEP HINH"/>
      <sheetName val="CHITIET VL-NC-TT1p"/>
      <sheetName val="TONGKE3p"/>
      <sheetName val="Sbq18"/>
      <sheetName val="DGchitiet "/>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giathanh1"/>
      <sheetName val="khung ten TD"/>
      <sheetName val="CHITIET VL-NC"/>
      <sheetName val="Q4"/>
      <sheetName val="_x0000__x0000__x0000__x0000__x0000__x0000__x0000__x0000_"/>
      <sheetName val="KKKKKKKK"/>
      <sheetName val="Pretensioned"/>
      <sheetName val="De Bai"/>
      <sheetName val="ma-pt"/>
      <sheetName val="Chi tiet"/>
      <sheetName val="KL thanh toan-Xuan Dao"/>
      <sheetName val="Tra_bang"/>
      <sheetName val="ctdz35"/>
      <sheetName val="MTL$-INTER"/>
      <sheetName val="5.2 So luong tin hieu"/>
      <sheetName val="6.2. KSCN"/>
      <sheetName val="6.3. PTCN"/>
      <sheetName val="6.7. TKHAM"/>
      <sheetName val="6.8. LTHAM"/>
      <sheetName val="Chiet tinh DG PM"/>
      <sheetName val="Sheet2"/>
      <sheetName val="TinhtaiKCN"/>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Phan giao"/>
      <sheetName val="BBNTKLHTGD"/>
      <sheetName val="BBNTKLHTGD (2)"/>
      <sheetName val="Tobia"/>
      <sheetName val="THQT"/>
      <sheetName val="THQTDZ10(GD)"/>
      <sheetName val="THDz 10(22)kV"/>
      <sheetName val="THQT TBA"/>
      <sheetName val="CPhi TBi"/>
      <sheetName val="TH TBA"/>
      <sheetName val="THQTDz0,4"/>
      <sheetName val="THDz0,4(GD)"/>
      <sheetName val="TNDz0,4"/>
      <sheetName val="THDz0,4"/>
      <sheetName val="THQT Cto"/>
      <sheetName val="THCTo"/>
      <sheetName val="TN Cto"/>
      <sheetName val="Ctinh 10kV"/>
      <sheetName val="TNDz10"/>
      <sheetName val="CT TBA"/>
      <sheetName val="TN TBA"/>
      <sheetName val="XL4Poppy"/>
      <sheetName val="tienluong"/>
      <sheetName val="TTDZ22"/>
      <sheetName val="De Bai"/>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L CAN THIET"/>
      <sheetName val="chi tiet dz 22kv"/>
      <sheetName val="PHAN DAY DAN CACH DIEN DZ 22 KV"/>
      <sheetName val="Tong hop DZ 22"/>
      <sheetName val="DG VC VT 36"/>
      <sheetName val="VCDD DZ 22"/>
      <sheetName val="Btchlech DZ 22"/>
      <sheetName val="dinh muc C DZ 3285"/>
      <sheetName val="TT DM C DZ 3285"/>
      <sheetName val="GTVC 1M3 BT DZ 22"/>
      <sheetName val="DGCLVC3285"/>
      <sheetName val="T T CL VC DZ 22"/>
      <sheetName val="DG vat tu"/>
      <sheetName val="THI NGHIEM"/>
      <sheetName val="khobai"/>
      <sheetName val="tobia22KV"/>
      <sheetName val="Ksp"/>
      <sheetName val="cpdb"/>
      <sheetName val="th dz&amp;tba"/>
      <sheetName val="CHITIET 0.4 KV"/>
      <sheetName val="PHAN DAY DAN CACH DIEN DZ 0.4 K"/>
      <sheetName val=" tong hop rieng o.4 KV"/>
      <sheetName val="VCDD DZ 0.4 KV"/>
      <sheetName val="Chenh lech 0.4 KV"/>
      <sheetName val="THI NGHIEM DZ 0.4 KV"/>
      <sheetName val="to bia 0.4 KV"/>
      <sheetName val="chi tiet TBA "/>
      <sheetName val="PHAN DIEN TBA "/>
      <sheetName val="bu chenh lech tram bien ap "/>
      <sheetName val="tieuhaoVT DZ 22"/>
      <sheetName val="TIEUHAOVT0.4KV"/>
      <sheetName val="vc vat tu CHUNG"/>
      <sheetName val="trungchuyen c"/>
      <sheetName val="Don gia trung chuyen c"/>
      <sheetName val="CLVCTC DZ 22"/>
      <sheetName val="cap dat dao"/>
      <sheetName val="TONG KE DZ 22 KV"/>
      <sheetName val="TONG KE DZ 0.4 KV"/>
      <sheetName val="kl tt"/>
      <sheetName val="chitietdatdao"/>
      <sheetName val="KHOI LUONG XA"/>
      <sheetName val="TT DM C 3283"/>
      <sheetName val="TONG KE DZ 0_4 KV"/>
      <sheetName val="MTL$-INTER"/>
      <sheetName val="dinh muc C DZ 328耵"/>
      <sheetName val="dinh muc C DZ 328?"/>
      <sheetName val="Bia TQT"/>
      <sheetName val="DTCT"/>
      <sheetName val="CHITIET VL-NC-TT-3p"/>
      <sheetName val="VCV-BE-TONG"/>
      <sheetName val="ptdg"/>
      <sheetName val="TL rieng"/>
      <sheetName val="PHAN DS 22 KV"/>
      <sheetName val="chi tiet TBA"/>
      <sheetName val="dinh muc C DZ 328_"/>
      <sheetName val="DG 85"/>
      <sheetName val="ptvt"/>
      <sheetName val="Thuc thanh"/>
      <sheetName val="Tongk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IEN VAY "/>
      <sheetName val="TIEN GOI"/>
      <sheetName val="UOC THUC HIEN TNDN"/>
      <sheetName val="SO CAI TM"/>
      <sheetName val="QUY TM"/>
      <sheetName val="NHAT KY CHI TIEN"/>
      <sheetName val="NVS DLDN"/>
      <sheetName val="HOA KHANH -HUE"/>
      <sheetName val="TO 48 C"/>
      <sheetName val="TTDIEN2"/>
      <sheetName val="HOA XUAN"/>
      <sheetName val="XT AN DON"/>
      <sheetName val="MR 110KV"/>
      <sheetName val="TBA 220 DS"/>
      <sheetName val="MONG TRU"/>
      <sheetName val="110 EAKAR"/>
      <sheetName val="VPXN"/>
      <sheetName val="HR TBA 500"/>
      <sheetName val="QUAN 3"/>
      <sheetName val="TRAM LAP HUE"/>
      <sheetName val="CQuang Q11"/>
      <sheetName val="TBA 110 Lao Bao"/>
      <sheetName val="DZ DH LBao"/>
      <sheetName val="Vi tri 268"/>
      <sheetName val="Da nhim NT"/>
      <sheetName val="TBA 220 HKhanh"/>
      <sheetName val="Vi tri 53,60"/>
      <sheetName val="XUAN HA"/>
      <sheetName val="NX CO KHI"/>
      <sheetName val="TBA 110 HKhanh"/>
      <sheetName val="KH_Q1_Q2_01"/>
      <sheetName val="Tai kh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t cao the 35kV"/>
      <sheetName val="Ct ha the"/>
      <sheetName val="CT TBA"/>
      <sheetName val="VLNC-Trung ap"/>
      <sheetName val="VLNChathe"/>
      <sheetName val="VLNChathe (2)"/>
      <sheetName val="Thinghiem"/>
      <sheetName val="THTN"/>
      <sheetName val="Du Toan"/>
      <sheetName val="THDT"/>
      <sheetName val="xd"/>
      <sheetName val="Cto"/>
      <sheetName val="thu hoi (2)"/>
      <sheetName val="000"/>
      <sheetName val="KH-Q1,Q2,01"/>
      <sheetName val="TT_10KV"/>
      <sheetName val="Sheet1"/>
      <sheetName val="Sheet2"/>
      <sheetName val="Sheet3"/>
      <sheetName val="XL4Poppy"/>
      <sheetName val="dongia (2)"/>
      <sheetName val="gtrinh"/>
      <sheetName val="lam-moi"/>
      <sheetName val="chitiet"/>
      <sheetName val="giathanh1"/>
      <sheetName val="DONGIA"/>
      <sheetName val="thao-go"/>
      <sheetName val="#REF"/>
      <sheetName val="TH XL"/>
      <sheetName val="VC"/>
      <sheetName val="Tiepdia"/>
      <sheetName val="CHITIET VL-NC"/>
      <sheetName val="_x0003_to"/>
      <sheetName val="D} Toan"/>
      <sheetName val="MTO REV.2(ARMOR)"/>
      <sheetName val="Thuc thanh"/>
      <sheetName val="CT35"/>
      <sheetName val="Tong hop"/>
      <sheetName val="BCDKT HopNhat"/>
      <sheetName val="BCKQKD-HopNhat"/>
      <sheetName val="NV NSNN HopNhat"/>
      <sheetName val="QT TNDN-HopNhat"/>
      <sheetName val="TM PI HopNhat"/>
      <sheetName val="TM PII-CT"/>
      <sheetName val="CashFlow-HopNhat"/>
      <sheetName val="00000000"/>
      <sheetName val="KH_Q1_Q2_01"/>
      <sheetName val="Name"/>
      <sheetName val="M"/>
      <sheetName val="B"/>
      <sheetName val="ESTI."/>
      <sheetName val="DI-ESTI"/>
      <sheetName val="KBSD"/>
      <sheetName val="Du Toa"/>
      <sheetName val="TTDZ22"/>
      <sheetName val="IBASE"/>
      <sheetName val="TONGKE1P"/>
      <sheetName val="CD 2001"/>
      <sheetName val="DMTK"/>
      <sheetName val="_x005f_x0003_to"/>
      <sheetName val="dnngia (2)"/>
      <sheetName val="nhan cong"/>
      <sheetName val="ct_cao_the_35kV"/>
      <sheetName val="Ct_ha_the"/>
      <sheetName val="CT_TBA"/>
      <sheetName val="VLNC-Trung_ap"/>
      <sheetName val="VLNChathe_(2)"/>
      <sheetName val="Du_Toan"/>
      <sheetName val="thu_hoi_(2)"/>
      <sheetName val="dongia_(2)"/>
      <sheetName val="TH_XL"/>
      <sheetName val="CHITIET_VL-NC"/>
      <sheetName val="BCDKT_HopNhat"/>
      <sheetName val="NV_NSNN_HopNhat"/>
      <sheetName val="QT_TNDN-HopNhat"/>
      <sheetName val="TM_PI_HopNhat"/>
      <sheetName val="TM_PII-CT"/>
      <sheetName val="to"/>
      <sheetName val="Tong_hop"/>
      <sheetName val="MTO_REV_2(ARMOR)"/>
      <sheetName val="ptvt"/>
      <sheetName val="THKP"/>
      <sheetName val="§gi¸"/>
      <sheetName val="BK04"/>
      <sheetName val="pt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Thuc thanh"/>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Xlc5nguyhiem"/>
      <sheetName val="CosoXL"/>
      <sheetName val="KhuTG"/>
      <sheetName val="10000000"/>
      <sheetName val="XL4Poppy"/>
      <sheetName val="XL4Test5"/>
      <sheetName val="Sheet1"/>
      <sheetName val="Sheet2"/>
      <sheetName val="Sheet3"/>
      <sheetName val="THDT"/>
      <sheetName val="THDG"/>
      <sheetName val="CTDG"/>
      <sheetName val="CTBT"/>
      <sheetName val="CPBT"/>
      <sheetName val="TB"/>
      <sheetName val="VC"/>
      <sheetName val="BANG KE"/>
      <sheetName val="thang12"/>
      <sheetName val="thang11"/>
      <sheetName val="thang10"/>
      <sheetName val="thang9"/>
      <sheetName val="thang8"/>
      <sheetName val="thang7"/>
      <sheetName val="thang6"/>
      <sheetName val="thang5"/>
      <sheetName val="thang4"/>
      <sheetName val="thang3"/>
      <sheetName val="thang2"/>
      <sheetName val="thang1"/>
      <sheetName val="CT cong?to"/>
      <sheetName val="CT cong_x0000_to"/>
      <sheetName val="DS-nop"/>
      <sheetName val="BC-ThuChi"/>
      <sheetName val="DS-nop T10.03"/>
      <sheetName val="DS-nop T12.03"/>
      <sheetName val="DS nop quý IV"/>
      <sheetName val="DS nop quý IV.04"/>
      <sheetName val="DSnop quý III.04"/>
      <sheetName val="DSnop quý II.04"/>
      <sheetName val="DSnop quý I.04"/>
      <sheetName val="DS-nop T11.03"/>
      <sheetName val="DL2"/>
      <sheetName val="giathanh1"/>
      <sheetName val="ESTI."/>
      <sheetName val="DI-ESTI"/>
      <sheetName val="CT cong_to"/>
      <sheetName val="CT cong"/>
      <sheetName val="#pkhac"/>
      <sheetName val="KH-Q1,Q2,01"/>
      <sheetName val="Sheet4"/>
      <sheetName val="data"/>
      <sheetName val="phi"/>
      <sheetName val="TDTKP"/>
      <sheetName val="DG3285"/>
      <sheetName val="TT_0,4KV"/>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to"/>
      <sheetName val="ESTI_"/>
      <sheetName val="CT_cong_to1"/>
      <sheetName val="CT_cong"/>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Database"/>
      <sheetName val="TONGKE1P"/>
      <sheetName val="BY CATEGORY"/>
      <sheetName val="001N99"/>
      <sheetName val="Tieu chuan thep"/>
      <sheetName val="KH_Q1_Q2_01"/>
      <sheetName val="TH dz 22"/>
      <sheetName val="VCDD_22"/>
      <sheetName val="vt 22"/>
      <sheetName val="Ban"/>
      <sheetName val="GS"/>
      <sheetName val="CD"/>
      <sheetName val="331"/>
      <sheetName val="CP"/>
      <sheetName val="Mua"/>
      <sheetName val="TK"/>
      <sheetName val="XNT"/>
      <sheetName val="BH"/>
      <sheetName val="BK MB"/>
      <sheetName val="So Cai"/>
      <sheetName val="Quy"/>
      <sheetName val="Luong"/>
      <sheetName val="name"/>
      <sheetName val="khluong"/>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2"/>
      <sheetName val="KL_CONG_TO1"/>
      <sheetName val="VL_DAU_THAU1"/>
      <sheetName val="TH_DZ0,41"/>
      <sheetName val="VL-NC_DZ0,41"/>
      <sheetName val="TH_THAO_DO1"/>
      <sheetName val="VL-NC-MTC_thao_do1"/>
      <sheetName val="CT_THAO_DO1"/>
      <sheetName val="KL_Thao_Do1"/>
      <sheetName val="Thuc_thanh1"/>
      <sheetName val="DS-nop_T10_031"/>
      <sheetName val="DS-nop_T12_031"/>
      <sheetName val="DS_nop_quý_IV1"/>
      <sheetName val="DS_nop_quý_IV_041"/>
      <sheetName val="DSnop_quý_III_041"/>
      <sheetName val="DSnop_quý_II_041"/>
      <sheetName val="DSnop_quý_I_041"/>
      <sheetName val="DS-nop_T11_031"/>
      <sheetName val="BANG_KE1"/>
      <sheetName val="CT_cong?to1"/>
      <sheetName val="ESTI_1"/>
      <sheetName val="CT_cong_to3"/>
      <sheetName val="CT_cong1"/>
      <sheetName val="BY_CATEGORY"/>
      <sheetName val="Tieu_chuan_thep"/>
      <sheetName val="4"/>
      <sheetName val="dtxl"/>
      <sheetName val="khung ten TD"/>
      <sheetName val="QTCNVHHK"/>
      <sheetName val="BK_MB"/>
      <sheetName val="So_Cai"/>
      <sheetName val="Thuc_thanh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4"/>
      <sheetName val="KL_CONG_TO2"/>
      <sheetName val="VL_DAU_THAU2"/>
      <sheetName val="TH_DZ0,42"/>
      <sheetName val="VL-NC_DZ0,42"/>
      <sheetName val="TH_THAO_DO2"/>
      <sheetName val="VL-NC-MTC_thao_do2"/>
      <sheetName val="CT_THAO_DO2"/>
      <sheetName val="KL_Thao_Do2"/>
      <sheetName val="BANG_KE2"/>
      <sheetName val="CT_cong?to2"/>
      <sheetName val="DS-nop_T10_032"/>
      <sheetName val="DS-nop_T12_032"/>
      <sheetName val="DS_nop_quý_IV2"/>
      <sheetName val="DS_nop_quý_IV_042"/>
      <sheetName val="DSnop_quý_III_042"/>
      <sheetName val="DSnop_quý_II_042"/>
      <sheetName val="DSnop_quý_I_042"/>
      <sheetName val="DS-nop_T11_032"/>
      <sheetName val="ESTI_2"/>
      <sheetName val="BK_MB1"/>
      <sheetName val="So_Cai1"/>
      <sheetName val="CT_cong_to5"/>
      <sheetName val="CT_cong2"/>
      <sheetName val="Thuc_thanh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6"/>
      <sheetName val="KL_CONG_TO3"/>
      <sheetName val="VL_DAU_THAU3"/>
      <sheetName val="TH_DZ0,43"/>
      <sheetName val="VL-NC_DZ0,43"/>
      <sheetName val="TH_THAO_DO3"/>
      <sheetName val="VL-NC-MTC_thao_do3"/>
      <sheetName val="CT_THAO_DO3"/>
      <sheetName val="KL_Thao_Do3"/>
      <sheetName val="BANG_KE3"/>
      <sheetName val="CT_cong?to3"/>
      <sheetName val="DS-nop_T10_033"/>
      <sheetName val="DS-nop_T12_033"/>
      <sheetName val="DS_nop_quý_IV3"/>
      <sheetName val="DS_nop_quý_IV_043"/>
      <sheetName val="DSnop_quý_III_043"/>
      <sheetName val="DSnop_quý_II_043"/>
      <sheetName val="DSnop_quý_I_043"/>
      <sheetName val="DS-nop_T11_033"/>
      <sheetName val="ESTI_3"/>
      <sheetName val="BK_MB2"/>
      <sheetName val="So_Cai2"/>
      <sheetName val="CT_cong_to7"/>
      <sheetName val="CT_cong3"/>
      <sheetName val="Thuc_thanh4"/>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8"/>
      <sheetName val="KL_CONG_TO4"/>
      <sheetName val="VL_DAU_THAU4"/>
      <sheetName val="TH_DZ0,44"/>
      <sheetName val="VL-NC_DZ0,44"/>
      <sheetName val="TH_THAO_DO4"/>
      <sheetName val="VL-NC-MTC_thao_do4"/>
      <sheetName val="CT_THAO_DO4"/>
      <sheetName val="KL_Thao_Do4"/>
      <sheetName val="BANG_KE4"/>
      <sheetName val="CT_cong?to4"/>
      <sheetName val="DS-nop_T10_034"/>
      <sheetName val="DS-nop_T12_034"/>
      <sheetName val="DS_nop_quý_IV4"/>
      <sheetName val="DS_nop_quý_IV_044"/>
      <sheetName val="DSnop_quý_III_044"/>
      <sheetName val="DSnop_quý_II_044"/>
      <sheetName val="DSnop_quý_I_044"/>
      <sheetName val="DS-nop_T11_034"/>
      <sheetName val="ESTI_4"/>
      <sheetName val="BK_MB3"/>
      <sheetName val="So_Cai3"/>
      <sheetName val="CT_cong_to9"/>
      <sheetName val="CT_cong4"/>
      <sheetName val="[_x0000_TCNVHHK_x0000_XLS_x0000_Cos_x0000_XL"/>
      <sheetName val="KK bo sung"/>
      <sheetName val="DONVI"/>
      <sheetName val="pp1p"/>
      <sheetName val="pp3p_NC"/>
      <sheetName val="pp3p "/>
      <sheetName val="1_x0000_ƛ_x0000__x0000__x0000__x0000__x0000__x0000__x0000__x0000__x0001__x0000_娈ƛ_x0000__x0004__x0000__x0000__x0000__x0000__x0000__x0000_Ⲽƛ_x0000__x0000__x0000__x0000__x0000__x0000_"/>
      <sheetName val="CHITIET VL-NC"/>
      <sheetName val="DON GIA"/>
      <sheetName val="1"/>
      <sheetName val="Khoi luong"/>
      <sheetName val="Loai-4-5"/>
      <sheetName val="om"/>
      <sheetName val="OM6"/>
      <sheetName val="om05"/>
      <sheetName val="NSU"/>
      <sheetName val="SPL4-TOTAL"/>
      <sheetName val="Input"/>
      <sheetName val="ptdg "/>
      <sheetName val="ptke"/>
      <sheetName val="ptdg"/>
      <sheetName val="IBASE"/>
      <sheetName val="(24)-Truc 9"/>
      <sheetName val="clecÿÿt"/>
      <sheetName val="ÿÿngia"/>
      <sheetName val="CHITIET VL-NC-TT1p"/>
      <sheetName val="TONGKE3p"/>
      <sheetName val=" XE 43K"/>
      <sheetName val="SO LIEU"/>
      <sheetName val="DCV"/>
      <sheetName val="CT35"/>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KL_CONG_TO5"/>
      <sheetName val="VL_DAU_THAU5"/>
      <sheetName val="TH_DZ0,45"/>
      <sheetName val="VL-NC_DZ0,45"/>
      <sheetName val="TH_THAO_DO5"/>
      <sheetName val="VL-NC-MTC_thao_do5"/>
      <sheetName val="CT_THAO_DO5"/>
      <sheetName val="KL_Thao_Do5"/>
      <sheetName val="Thuc_thanh5"/>
      <sheetName val="DS-nop_T10_035"/>
      <sheetName val="DS-nop_T12_035"/>
      <sheetName val="DS_nop_quý_IV5"/>
      <sheetName val="DS_nop_quý_IV_045"/>
      <sheetName val="DSnop_quý_III_045"/>
      <sheetName val="DSnop_quý_II_045"/>
      <sheetName val="DSnop_quý_I_045"/>
      <sheetName val="DS-nop_T11_03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KL_CONG_TO6"/>
      <sheetName val="VL_DAU_THAU6"/>
      <sheetName val="TH_DZ0,46"/>
      <sheetName val="VL-NC_DZ0,46"/>
      <sheetName val="TH_THAO_DO6"/>
      <sheetName val="VL-NC-MTC_thao_do6"/>
      <sheetName val="CT_THAO_DO6"/>
      <sheetName val="KL_Thao_Do6"/>
      <sheetName val="Thuc_thanh6"/>
      <sheetName val="DS-nop_T10_036"/>
      <sheetName val="DS-nop_T12_036"/>
      <sheetName val="DS_nop_quý_IV6"/>
      <sheetName val="DS_nop_quý_IV_046"/>
      <sheetName val="DSnop_quý_III_046"/>
      <sheetName val="DSnop_quý_II_046"/>
      <sheetName val="DSnop_quý_I_046"/>
      <sheetName val="DS-nop_T11_03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KL_CONG_TO7"/>
      <sheetName val="VL_DAU_THAU7"/>
      <sheetName val="TH_DZ0,47"/>
      <sheetName val="VL-NC_DZ0,47"/>
      <sheetName val="TH_THAO_DO7"/>
      <sheetName val="VL-NC-MTC_thao_do7"/>
      <sheetName val="CT_THAO_DO7"/>
      <sheetName val="KL_Thao_Do7"/>
      <sheetName val="Thuc_thanh7"/>
      <sheetName val="DS-nop_T10_037"/>
      <sheetName val="DS-nop_T12_037"/>
      <sheetName val="DS_nop_quý_IV7"/>
      <sheetName val="DS_nop_quý_IV_047"/>
      <sheetName val="DSnop_quý_III_047"/>
      <sheetName val="DSnop_quý_II_047"/>
      <sheetName val="DSnop_quý_I_047"/>
      <sheetName val="DS-nop_T11_03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KL_CONG_TO8"/>
      <sheetName val="VL_DAU_THAU8"/>
      <sheetName val="TH_DZ0,48"/>
      <sheetName val="VL-NC_DZ0,48"/>
      <sheetName val="TH_THAO_DO8"/>
      <sheetName val="VL-NC-MTC_thao_do8"/>
      <sheetName val="CT_THAO_DO8"/>
      <sheetName val="KL_Thao_Do8"/>
      <sheetName val="Thuc_thanh8"/>
      <sheetName val="DS-nop_T10_038"/>
      <sheetName val="DS-nop_T12_038"/>
      <sheetName val="DS_nop_quý_IV8"/>
      <sheetName val="DS_nop_quý_IV_048"/>
      <sheetName val="DSnop_quý_III_048"/>
      <sheetName val="DSnop_quý_II_048"/>
      <sheetName val="DSnop_quý_I_048"/>
      <sheetName val="DS-nop_T11_038"/>
      <sheetName val="TTDZ22"/>
      <sheetName val="VL10KV"/>
      <sheetName val="TBA 250"/>
      <sheetName val="VL 0,4KV"/>
      <sheetName val="VLCong to"/>
      <sheetName val="cuoc vc"/>
      <sheetName val="KHDTCC"/>
      <sheetName val="_"/>
      <sheetName val="THUE_GTGT"/>
      <sheetName val="CHIET TINH TBA"/>
      <sheetName val="thunhap2"/>
      <sheetName val="1?ƛ????????_x0001_?娈ƛ?_x0004_??????Ⲽƛ??????"/>
      <sheetName val="diachi"/>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E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H8">
            <v>0</v>
          </cell>
          <cell r="I8">
            <v>0</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G9">
            <v>0</v>
          </cell>
          <cell r="H9">
            <v>43.36</v>
          </cell>
          <cell r="I9">
            <v>0</v>
          </cell>
          <cell r="J9">
            <v>0</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G10">
            <v>0</v>
          </cell>
          <cell r="H10">
            <v>3.33</v>
          </cell>
          <cell r="I10">
            <v>0</v>
          </cell>
          <cell r="J10">
            <v>0</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H11">
            <v>0</v>
          </cell>
          <cell r="I11">
            <v>7.34</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H12">
            <v>0</v>
          </cell>
          <cell r="I12">
            <v>2.83</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G13">
            <v>0</v>
          </cell>
          <cell r="H13">
            <v>0.69</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G14">
            <v>0</v>
          </cell>
          <cell r="H14">
            <v>0.77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G15">
            <v>0</v>
          </cell>
          <cell r="H15">
            <v>0.16</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F16">
            <v>0</v>
          </cell>
          <cell r="G16">
            <v>0</v>
          </cell>
          <cell r="H16">
            <v>0</v>
          </cell>
          <cell r="I16">
            <v>0</v>
          </cell>
          <cell r="J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H17">
            <v>0</v>
          </cell>
          <cell r="I17">
            <v>0</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I18">
            <v>0</v>
          </cell>
          <cell r="J18">
            <v>0</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20">
          <cell r="A20">
            <v>0</v>
          </cell>
          <cell r="B20" t="str">
            <v>II. THÁN NHAÌ :</v>
          </cell>
          <cell r="C20">
            <v>0</v>
          </cell>
          <cell r="D20">
            <v>0</v>
          </cell>
          <cell r="E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G21">
            <v>0</v>
          </cell>
          <cell r="H21">
            <v>9.4</v>
          </cell>
          <cell r="I21">
            <v>0</v>
          </cell>
          <cell r="J21">
            <v>0</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G22">
            <v>0</v>
          </cell>
          <cell r="H22">
            <v>0.24</v>
          </cell>
          <cell r="I22">
            <v>0</v>
          </cell>
          <cell r="J22">
            <v>0</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G23">
            <v>0</v>
          </cell>
          <cell r="H23">
            <v>7.35</v>
          </cell>
          <cell r="I23">
            <v>0</v>
          </cell>
          <cell r="J23">
            <v>0</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G24">
            <v>0</v>
          </cell>
          <cell r="H24">
            <v>0.85</v>
          </cell>
          <cell r="I24">
            <v>0</v>
          </cell>
          <cell r="J24">
            <v>0</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G25">
            <v>0</v>
          </cell>
          <cell r="H25">
            <v>24.71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G26">
            <v>0</v>
          </cell>
          <cell r="H26">
            <v>1.99</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I27">
            <v>0</v>
          </cell>
          <cell r="J27">
            <v>0</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G28">
            <v>0</v>
          </cell>
          <cell r="H28">
            <v>0.16</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G29">
            <v>0</v>
          </cell>
          <cell r="H29">
            <v>1.1000000000000001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H30">
            <v>0</v>
          </cell>
          <cell r="I30">
            <v>0.97</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H31">
            <v>0</v>
          </cell>
          <cell r="I31">
            <v>1.75</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H32">
            <v>0</v>
          </cell>
          <cell r="I32">
            <v>0.24</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G33">
            <v>0</v>
          </cell>
          <cell r="H33">
            <v>0.09</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G34">
            <v>0</v>
          </cell>
          <cell r="H34">
            <v>7.0000000000000007E-2</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G35">
            <v>0</v>
          </cell>
          <cell r="H35">
            <v>0.08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E36">
            <v>0</v>
          </cell>
          <cell r="F36">
            <v>10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G37">
            <v>0</v>
          </cell>
          <cell r="H37">
            <v>0.51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H38">
            <v>0</v>
          </cell>
          <cell r="I38">
            <v>5.3</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G39">
            <v>0</v>
          </cell>
          <cell r="H39">
            <v>1.86</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E40">
            <v>0</v>
          </cell>
          <cell r="F40">
            <v>99</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F41">
            <v>0</v>
          </cell>
          <cell r="G41">
            <v>0</v>
          </cell>
          <cell r="H41">
            <v>0</v>
          </cell>
          <cell r="I41">
            <v>0</v>
          </cell>
          <cell r="J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E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H46">
            <v>0</v>
          </cell>
          <cell r="I46">
            <v>3.2</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H47">
            <v>0</v>
          </cell>
          <cell r="I47">
            <v>0.66</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G48">
            <v>0</v>
          </cell>
          <cell r="H48">
            <v>1.1299999999999999</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G49">
            <v>0</v>
          </cell>
          <cell r="H49">
            <v>1.96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E50">
            <v>0</v>
          </cell>
          <cell r="F50">
            <v>57</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H52">
            <v>0</v>
          </cell>
          <cell r="I52">
            <v>0.4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G53">
            <v>0</v>
          </cell>
          <cell r="H53">
            <v>0.36</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F55">
            <v>0</v>
          </cell>
          <cell r="G55">
            <v>0</v>
          </cell>
          <cell r="H55">
            <v>0</v>
          </cell>
          <cell r="I55">
            <v>0</v>
          </cell>
          <cell r="J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G60">
            <v>0</v>
          </cell>
          <cell r="H60">
            <v>0.28999999999999998</v>
          </cell>
          <cell r="I60">
            <v>0</v>
          </cell>
          <cell r="J60">
            <v>0</v>
          </cell>
          <cell r="K60">
            <v>0</v>
          </cell>
          <cell r="L60">
            <v>0</v>
          </cell>
          <cell r="M60">
            <v>713.4</v>
          </cell>
        </row>
        <row r="61">
          <cell r="A61" t="str">
            <v>651.140</v>
          </cell>
          <cell r="B61" t="str">
            <v>Traït båì chaíy væîa XM M75 daìy 15</v>
          </cell>
          <cell r="C61" t="str">
            <v>m2</v>
          </cell>
          <cell r="D61">
            <v>11.88</v>
          </cell>
          <cell r="E61">
            <v>0.2</v>
          </cell>
          <cell r="F61">
            <v>51.51</v>
          </cell>
          <cell r="G61">
            <v>0</v>
          </cell>
          <cell r="H61">
            <v>0.22</v>
          </cell>
        </row>
        <row r="62">
          <cell r="A62" t="str">
            <v>701.120</v>
          </cell>
          <cell r="B62" t="str">
            <v>Queït väi båì chaíy 3 næåïc tràõng</v>
          </cell>
          <cell r="C62" t="str">
            <v>m2</v>
          </cell>
          <cell r="D62">
            <v>11.88</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3.56</v>
          </cell>
        </row>
        <row r="63">
          <cell r="A63" t="str">
            <v>651.420</v>
          </cell>
          <cell r="B63" t="str">
            <v>Traït chè næåïc sã nä</v>
          </cell>
          <cell r="C63" t="str">
            <v>m</v>
          </cell>
          <cell r="D63">
            <v>33.200000000000003</v>
          </cell>
          <cell r="E63">
            <v>0.15</v>
          </cell>
          <cell r="F63">
            <v>38.630000000000003</v>
          </cell>
          <cell r="G63">
            <v>0</v>
          </cell>
          <cell r="H63">
            <v>0.17</v>
          </cell>
        </row>
        <row r="64">
          <cell r="A64">
            <v>0</v>
          </cell>
          <cell r="B64" t="str">
            <v>IV. KHU VÃÛ SINH - BÃØ TÆÛ HOAÛI - BÃÚP - HÄÚ GA :</v>
          </cell>
          <cell r="C64">
            <v>0</v>
          </cell>
          <cell r="D64">
            <v>0</v>
          </cell>
          <cell r="E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cell r="E65">
            <v>0</v>
          </cell>
          <cell r="F65">
            <v>0</v>
          </cell>
          <cell r="G65">
            <v>0</v>
          </cell>
          <cell r="H65">
            <v>0</v>
          </cell>
          <cell r="I65">
            <v>0.3</v>
          </cell>
        </row>
        <row r="66">
          <cell r="A66" t="str">
            <v>204.410</v>
          </cell>
          <cell r="B66" t="str">
            <v xml:space="preserve">Xáy thaình bãø næåïc khu vãû sinh daìy 110 væîa XM M75 </v>
          </cell>
          <cell r="C66" t="str">
            <v>m3</v>
          </cell>
          <cell r="D66">
            <v>0.65</v>
          </cell>
          <cell r="E66">
            <v>0.2</v>
          </cell>
          <cell r="F66">
            <v>51.51</v>
          </cell>
          <cell r="G66">
            <v>0</v>
          </cell>
          <cell r="H66">
            <v>0.22</v>
          </cell>
          <cell r="I66">
            <v>0</v>
          </cell>
          <cell r="J66">
            <v>0</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G67">
            <v>0</v>
          </cell>
          <cell r="H67">
            <v>0.1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G68">
            <v>0</v>
          </cell>
          <cell r="H68">
            <v>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E69">
            <v>0</v>
          </cell>
          <cell r="F69">
            <v>8</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G70">
            <v>0</v>
          </cell>
          <cell r="H70">
            <v>1.69</v>
          </cell>
          <cell r="I70">
            <v>0</v>
          </cell>
          <cell r="J70">
            <v>0</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G71">
            <v>0</v>
          </cell>
          <cell r="H71">
            <v>0.25</v>
          </cell>
          <cell r="I71">
            <v>0</v>
          </cell>
          <cell r="J71">
            <v>0</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H73">
            <v>0</v>
          </cell>
          <cell r="I73">
            <v>0</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G74">
            <v>0</v>
          </cell>
          <cell r="H74">
            <v>3.45</v>
          </cell>
          <cell r="I74">
            <v>0</v>
          </cell>
          <cell r="J74">
            <v>0</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G75">
            <v>0</v>
          </cell>
          <cell r="H75">
            <v>1.68</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E76">
            <v>0</v>
          </cell>
          <cell r="F76">
            <v>74</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G77">
            <v>0</v>
          </cell>
          <cell r="H77">
            <v>0.25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G78">
            <v>0</v>
          </cell>
          <cell r="H78">
            <v>0.31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H79">
            <v>0</v>
          </cell>
          <cell r="I79">
            <v>1.18</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G81">
            <v>0</v>
          </cell>
          <cell r="H81">
            <v>0.27</v>
          </cell>
          <cell r="I81">
            <v>0</v>
          </cell>
          <cell r="J81">
            <v>0</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G82">
            <v>0</v>
          </cell>
          <cell r="H82">
            <v>0.26</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F83">
            <v>0</v>
          </cell>
          <cell r="G83">
            <v>0</v>
          </cell>
          <cell r="H83">
            <v>0</v>
          </cell>
          <cell r="I83">
            <v>0</v>
          </cell>
          <cell r="J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H84">
            <v>0</v>
          </cell>
          <cell r="I84">
            <v>0.28999999999999998</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G85">
            <v>0</v>
          </cell>
          <cell r="H85">
            <v>0.2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H88">
            <v>0</v>
          </cell>
          <cell r="I88">
            <v>0</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G89">
            <v>0</v>
          </cell>
          <cell r="H89">
            <v>0.36</v>
          </cell>
          <cell r="I89">
            <v>0</v>
          </cell>
          <cell r="J89">
            <v>0</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G90">
            <v>0</v>
          </cell>
          <cell r="H90">
            <v>0.39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H91">
            <v>0</v>
          </cell>
          <cell r="I91">
            <v>0.2</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E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H93">
            <v>0</v>
          </cell>
          <cell r="I93">
            <v>0</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H94">
            <v>0</v>
          </cell>
          <cell r="I94">
            <v>3.7</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H95">
            <v>0</v>
          </cell>
          <cell r="I95">
            <v>2.35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I96">
            <v>0</v>
          </cell>
          <cell r="J96">
            <v>0</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H97">
            <v>0</v>
          </cell>
          <cell r="I97">
            <v>0.3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G98">
            <v>0</v>
          </cell>
          <cell r="H98">
            <v>0.41</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E99">
            <v>0</v>
          </cell>
          <cell r="F99">
            <v>25</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G100">
            <v>0</v>
          </cell>
          <cell r="H100">
            <v>0.15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G101">
            <v>0</v>
          </cell>
          <cell r="H101">
            <v>0.26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G102">
            <v>0</v>
          </cell>
          <cell r="H102">
            <v>0.19</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G103">
            <v>0</v>
          </cell>
          <cell r="H103">
            <v>0.13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G104">
            <v>0</v>
          </cell>
          <cell r="H104">
            <v>0.23</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G105">
            <v>0</v>
          </cell>
          <cell r="H105">
            <v>0.17</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E106">
            <v>0</v>
          </cell>
          <cell r="F106">
            <v>53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E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H110">
            <v>0</v>
          </cell>
          <cell r="I110">
            <v>0</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G111">
            <v>0</v>
          </cell>
          <cell r="H111">
            <v>0.32</v>
          </cell>
          <cell r="I111">
            <v>0</v>
          </cell>
          <cell r="J111">
            <v>0</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G112">
            <v>0</v>
          </cell>
          <cell r="H112">
            <v>0.13</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H116">
            <v>0</v>
          </cell>
          <cell r="I116">
            <v>0</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G117">
            <v>0</v>
          </cell>
          <cell r="H117">
            <v>2.19</v>
          </cell>
          <cell r="I117">
            <v>0</v>
          </cell>
          <cell r="J117">
            <v>0</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G118">
            <v>0</v>
          </cell>
          <cell r="H118">
            <v>0.23</v>
          </cell>
          <cell r="I118">
            <v>0</v>
          </cell>
          <cell r="J118">
            <v>0</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G119">
            <v>0</v>
          </cell>
          <cell r="H119">
            <v>0.26</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G120">
            <v>0</v>
          </cell>
          <cell r="H120">
            <v>0.5</v>
          </cell>
          <cell r="I120">
            <v>0</v>
          </cell>
          <cell r="J120">
            <v>0</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G121">
            <v>0</v>
          </cell>
          <cell r="H121">
            <v>0.34</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H125">
            <v>0</v>
          </cell>
          <cell r="I125">
            <v>1.51</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G126">
            <v>0</v>
          </cell>
          <cell r="H126">
            <v>0.66</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 sheetId="46" refreshError="1"/>
      <sheetData sheetId="47"/>
      <sheetData sheetId="48"/>
      <sheetData sheetId="49" refreshError="1"/>
      <sheetData sheetId="50" refreshError="1"/>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uatb+ng¨n lé"/>
      <sheetName val="L¾p ®Æt TB+ng¨n lé"/>
      <sheetName val="TNghiªm TB +ng¨ lé"/>
      <sheetName val="TB-VL-TTin"/>
      <sheetName val="L¾p ®Æt TB-VL-TTin"/>
      <sheetName val="TNghiªm TT"/>
      <sheetName val="VËt liÖu"/>
      <sheetName val="Lap ®at ®iÖn"/>
      <sheetName val="TNghiÖm VL"/>
      <sheetName val="tt-xd"/>
      <sheetName val="tt-ng¨n lé"/>
      <sheetName val="th ng¨n lé"/>
      <sheetName val="mong ng¨n lé"/>
      <sheetName val="mong"/>
      <sheetName val="tt-35"/>
      <sheetName val="th-tt-35"/>
      <sheetName val="ttcap22"/>
      <sheetName val="cap22"/>
      <sheetName val="KSTK"/>
      <sheetName val="KS(TKKT)"/>
      <sheetName val="KS(BCKT)"/>
      <sheetName val="TH-TB"/>
      <sheetName val="TH-DK"/>
      <sheetName val="th-xd "/>
      <sheetName val="tien luong"/>
      <sheetName val="dt-xd"/>
      <sheetName val="PACS"/>
      <sheetName val="PACS (2)"/>
      <sheetName val="PACS (3)"/>
      <sheetName val="PACS (4)"/>
      <sheetName val="th-110"/>
      <sheetName val="Sheet1"/>
      <sheetName val="Sheet2"/>
      <sheetName val="TNHC"/>
      <sheetName val="XL4Poppy"/>
      <sheetName val="TNghiªm TB +ng¨_x0000_lé"/>
      <sheetName val="th-tv-35"/>
      <sheetName val="dongia"/>
      <sheetName val="TNghiªm TB +ng¨"/>
      <sheetName val="chiet tinh"/>
      <sheetName val="Muatb+ng¨n_lé"/>
      <sheetName val="L¾p_®Æt_TB+ng¨n_lé"/>
      <sheetName val="TNghiªm_TB_+ng¨_lé"/>
      <sheetName val="L¾p_®Æt_TB-VL-TTin"/>
      <sheetName val="TNghiªm_TT"/>
      <sheetName val="VËt_liÖu"/>
      <sheetName val="Lap_®at_®iÖn"/>
      <sheetName val="TNghiÖm_VL"/>
      <sheetName val="tt-ng¨n_lé"/>
      <sheetName val="th_ng¨n_lé"/>
      <sheetName val="mong_ng¨n_lé"/>
      <sheetName val="th-xd_"/>
      <sheetName val="tien_luong"/>
      <sheetName val="PACS_(2)"/>
      <sheetName val="PACS_(3)"/>
      <sheetName val="PACS_(4)"/>
      <sheetName val="TNghiªm_TB_+ng¨lé"/>
      <sheetName val="TNghiªm_TB_+ng¨"/>
      <sheetName val="Muatb+ng¨n_lé1"/>
      <sheetName val="L¾p_®Æt_TB+ng¨n_lé1"/>
      <sheetName val="TNghiªm_TB_+ng¨_lé1"/>
      <sheetName val="L¾p_®Æt_TB-VL-TTin1"/>
      <sheetName val="TNghiªm_TT1"/>
      <sheetName val="VËt_liÖu1"/>
      <sheetName val="Lap_®at_®iÖn1"/>
      <sheetName val="TNghiÖm_VL1"/>
      <sheetName val="tt-ng¨n_lé1"/>
      <sheetName val="th_ng¨n_lé1"/>
      <sheetName val="mong_ng¨n_lé1"/>
      <sheetName val="th-xd_1"/>
      <sheetName val="tien_luong1"/>
      <sheetName val="PACS_(2)1"/>
      <sheetName val="PACS_(3)1"/>
      <sheetName val="PACS_(4)1"/>
      <sheetName val="Muatb+ng¨n_lé2"/>
      <sheetName val="L¾p_®Æt_TB+ng¨n_lé2"/>
      <sheetName val="TNghiªm_TB_+ng¨_lé2"/>
      <sheetName val="L¾p_®Æt_TB-VL-TTin2"/>
      <sheetName val="TNghiªm_TT2"/>
      <sheetName val="VËt_liÖu2"/>
      <sheetName val="Lap_®at_®iÖn2"/>
      <sheetName val="TNghiÖm_VL2"/>
      <sheetName val="tt-ng¨n_lé2"/>
      <sheetName val="th_ng¨n_lé2"/>
      <sheetName val="mong_ng¨n_lé2"/>
      <sheetName val="th-xd_2"/>
      <sheetName val="tien_luong2"/>
      <sheetName val="PACS_(2)2"/>
      <sheetName val="PACS_(3)2"/>
      <sheetName val="PACS_(4)2"/>
      <sheetName val="Muatb+ng¨n_lé3"/>
      <sheetName val="L¾p_®Æt_TB+ng¨n_lé3"/>
      <sheetName val="TNghiªm_TB_+ng¨_lé3"/>
      <sheetName val="L¾p_®Æt_TB-VL-TTin3"/>
      <sheetName val="TNghiªm_TT3"/>
      <sheetName val="VËt_liÖu3"/>
      <sheetName val="Lap_®at_®iÖn3"/>
      <sheetName val="TNghiÖm_VL3"/>
      <sheetName val="tt-ng¨n_lé3"/>
      <sheetName val="th_ng¨n_lé3"/>
      <sheetName val="mong_ng¨n_lé3"/>
      <sheetName val="th-xd_3"/>
      <sheetName val="tien_luong3"/>
      <sheetName val="PACS_(2)3"/>
      <sheetName val="PACS_(3)3"/>
      <sheetName val="PACS_(4)3"/>
      <sheetName val="Gia vat tu"/>
      <sheetName val="TNghiªm TB +ng¨?lé"/>
      <sheetName val="chiettinh"/>
      <sheetName val="Section"/>
      <sheetName val="TNghiªm TB +ng¨_lé"/>
      <sheetName val="3.1.1"/>
      <sheetName val="3.1.4"/>
      <sheetName val="2.5.1"/>
      <sheetName val="4.1.1"/>
      <sheetName val="4.3.2"/>
      <sheetName val="2.3.3"/>
      <sheetName val="5.3.1"/>
      <sheetName val="2.4.3"/>
      <sheetName val="X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BIỂU 01. TIÊU CHÍ NTM"/>
      <sheetName val="Biểu 02. TIÊU CHÍ NTM NÂNG CAO"/>
      <sheetName val="Biểu 03. ĐÔ THỊ VĂN MINH"/>
      <sheetName val="Biểu 04. TC HUYỆN ĐẠT CHUẨN NTM"/>
      <sheetName val="Biểu 05. TỔNG VỐN HUY ĐỘNG"/>
      <sheetName val="Biểu 06. TH TỪNG LOẠI VỐN "/>
      <sheetName val="Biểu 07. TH VỐN THEO TIÊU CHÍ"/>
      <sheetName val="Biểu 8. Vốn đề nghị bộ, ngành"/>
      <sheetName val="Biểu 09. Vốn đề nghị tỉnh"/>
      <sheetName val="Biểu 10. Đô thị văn minh"/>
      <sheetName val="Biểu 11. Quy hoạch (KTHT)"/>
      <sheetName val="Biểu 12. Bieu giao thong (KHHT)"/>
      <sheetName val="Biểu 13. Thủy lợi(NN) "/>
      <sheetName val="Biểu 14. Điện  (KTHT) "/>
      <sheetName val="Biểu 15. Trường học (GIAO DỤC) "/>
      <sheetName val="Biểu 16. Cơ sở vật chất VH"/>
      <sheetName val=" Biểu 17. Chợ NT (Kinh tế HT)"/>
      <sheetName val=" Biểu 18.Thông tin &amp;TT (V.HÓA)"/>
      <sheetName val="THU NHẬP (Nông nghiệp)"/>
      <sheetName val="Biểu 19. Nhà ở dân cư (KTHT)"/>
      <sheetName val="Biểu 20. THU NHẬP (NN)"/>
      <sheetName val="Biểu 21. Y tế (Y TẾ)"/>
      <sheetName val="Biểu 22. Môi trường+Nước sạch"/>
      <sheetName val="Biểu 23. Chi tiết bộ ngành"/>
      <sheetName val="Biểu số 23. Vốn Bộ ngành"/>
      <sheetName val="Biểu số 24. Vốn đường huyện"/>
      <sheetName val="Biểu 25. Vốn GD đề nghị hỗ trợ"/>
    </sheetNames>
    <sheetDataSet>
      <sheetData sheetId="0"/>
      <sheetData sheetId="1"/>
      <sheetData sheetId="2"/>
      <sheetData sheetId="3"/>
      <sheetData sheetId="4"/>
      <sheetData sheetId="5"/>
      <sheetData sheetId="6"/>
      <sheetData sheetId="7"/>
      <sheetData sheetId="8"/>
      <sheetData sheetId="9">
        <row r="36">
          <cell r="W36">
            <v>16667</v>
          </cell>
        </row>
        <row r="37">
          <cell r="G37">
            <v>16667</v>
          </cell>
        </row>
        <row r="39">
          <cell r="G39">
            <v>6000</v>
          </cell>
          <cell r="W39">
            <v>6000</v>
          </cell>
        </row>
      </sheetData>
      <sheetData sheetId="10"/>
      <sheetData sheetId="11">
        <row r="174">
          <cell r="H174">
            <v>100586</v>
          </cell>
          <cell r="K174">
            <v>7786</v>
          </cell>
          <cell r="Y174">
            <v>78000</v>
          </cell>
        </row>
        <row r="176">
          <cell r="D176">
            <v>17.63</v>
          </cell>
          <cell r="G176">
            <v>9337.5</v>
          </cell>
          <cell r="AE176">
            <v>9337.5</v>
          </cell>
        </row>
        <row r="178">
          <cell r="D178">
            <v>14.64</v>
          </cell>
          <cell r="G178">
            <v>3293</v>
          </cell>
          <cell r="J178">
            <v>390</v>
          </cell>
          <cell r="Q178">
            <v>940</v>
          </cell>
          <cell r="AA178">
            <v>1963</v>
          </cell>
        </row>
      </sheetData>
      <sheetData sheetId="12">
        <row r="141">
          <cell r="AC141">
            <v>2000</v>
          </cell>
        </row>
        <row r="142">
          <cell r="AE142">
            <v>2000</v>
          </cell>
        </row>
        <row r="144">
          <cell r="AC144">
            <v>900</v>
          </cell>
          <cell r="AE144">
            <v>900</v>
          </cell>
        </row>
        <row r="149">
          <cell r="G149">
            <v>1300</v>
          </cell>
          <cell r="AE149">
            <v>1300</v>
          </cell>
        </row>
        <row r="154">
          <cell r="G154">
            <v>2200</v>
          </cell>
          <cell r="AE154">
            <v>2200</v>
          </cell>
        </row>
        <row r="158">
          <cell r="AE158">
            <v>2000</v>
          </cell>
        </row>
        <row r="159">
          <cell r="G159">
            <v>2000</v>
          </cell>
        </row>
        <row r="160">
          <cell r="G160">
            <v>8500</v>
          </cell>
          <cell r="AE160">
            <v>1000</v>
          </cell>
        </row>
        <row r="162">
          <cell r="Y162">
            <v>7500</v>
          </cell>
        </row>
      </sheetData>
      <sheetData sheetId="13">
        <row r="84">
          <cell r="H84">
            <v>51660</v>
          </cell>
        </row>
      </sheetData>
      <sheetData sheetId="14">
        <row r="14">
          <cell r="AE14">
            <v>11300</v>
          </cell>
        </row>
        <row r="15">
          <cell r="G15">
            <v>17800</v>
          </cell>
          <cell r="AD15">
            <v>17800</v>
          </cell>
        </row>
        <row r="239">
          <cell r="G239">
            <v>12864.1</v>
          </cell>
          <cell r="AD239">
            <v>1564.1</v>
          </cell>
        </row>
        <row r="242">
          <cell r="AD242">
            <v>2793.6</v>
          </cell>
        </row>
        <row r="243">
          <cell r="G243">
            <v>5282.6</v>
          </cell>
          <cell r="AD243">
            <v>5282.6</v>
          </cell>
        </row>
        <row r="244">
          <cell r="G244">
            <v>7492.6</v>
          </cell>
        </row>
        <row r="247">
          <cell r="G247">
            <v>7313.4</v>
          </cell>
          <cell r="AD247">
            <v>7313.4</v>
          </cell>
        </row>
        <row r="248">
          <cell r="G248">
            <v>8689.2999999999993</v>
          </cell>
        </row>
        <row r="250">
          <cell r="AD250">
            <v>3428.4</v>
          </cell>
        </row>
        <row r="251">
          <cell r="G251">
            <v>3925.9</v>
          </cell>
          <cell r="AD251">
            <v>3925.9</v>
          </cell>
        </row>
        <row r="252">
          <cell r="G252">
            <v>7620.7</v>
          </cell>
        </row>
        <row r="255">
          <cell r="AD255">
            <v>4069.4</v>
          </cell>
        </row>
        <row r="256">
          <cell r="G256">
            <v>5939.8</v>
          </cell>
          <cell r="AD256">
            <v>5939.8</v>
          </cell>
        </row>
        <row r="257">
          <cell r="G257">
            <v>3574.4</v>
          </cell>
        </row>
        <row r="261">
          <cell r="G261">
            <v>1600</v>
          </cell>
        </row>
        <row r="265">
          <cell r="G265">
            <v>8109.6</v>
          </cell>
          <cell r="AD265">
            <v>8109.6</v>
          </cell>
        </row>
        <row r="266">
          <cell r="G266">
            <v>9307.1</v>
          </cell>
        </row>
        <row r="268">
          <cell r="AD268">
            <v>13296.8</v>
          </cell>
          <cell r="AE268">
            <v>988</v>
          </cell>
        </row>
        <row r="269">
          <cell r="G269">
            <v>5432.4</v>
          </cell>
          <cell r="AD269">
            <v>5432.4</v>
          </cell>
        </row>
        <row r="270">
          <cell r="G270">
            <v>3564</v>
          </cell>
        </row>
        <row r="272">
          <cell r="AD272">
            <v>6610.4</v>
          </cell>
        </row>
        <row r="273">
          <cell r="G273">
            <v>10028.5</v>
          </cell>
          <cell r="AD273">
            <v>10028.5</v>
          </cell>
        </row>
        <row r="274">
          <cell r="G274">
            <v>10444.1</v>
          </cell>
        </row>
        <row r="275">
          <cell r="G275">
            <v>7480.6</v>
          </cell>
          <cell r="AD275">
            <v>7480.6</v>
          </cell>
        </row>
        <row r="277">
          <cell r="AD277">
            <v>2626.1</v>
          </cell>
        </row>
        <row r="278">
          <cell r="G278">
            <v>4718.5</v>
          </cell>
          <cell r="AD278">
            <v>4718.5</v>
          </cell>
        </row>
        <row r="280">
          <cell r="AD280">
            <v>4650.6000000000004</v>
          </cell>
        </row>
        <row r="281">
          <cell r="G281">
            <v>8665.9</v>
          </cell>
          <cell r="AD281">
            <v>8665.9</v>
          </cell>
        </row>
        <row r="282">
          <cell r="G282">
            <v>7880.2</v>
          </cell>
        </row>
      </sheetData>
      <sheetData sheetId="15">
        <row r="128">
          <cell r="AE128">
            <v>200</v>
          </cell>
        </row>
        <row r="129">
          <cell r="H129">
            <v>80</v>
          </cell>
          <cell r="R129">
            <v>80</v>
          </cell>
        </row>
        <row r="130">
          <cell r="H130">
            <v>550</v>
          </cell>
        </row>
        <row r="132">
          <cell r="S132">
            <v>300</v>
          </cell>
          <cell r="AA132">
            <v>1000</v>
          </cell>
        </row>
        <row r="134">
          <cell r="H134">
            <v>80</v>
          </cell>
          <cell r="R134">
            <v>80</v>
          </cell>
        </row>
        <row r="135">
          <cell r="H135">
            <v>850</v>
          </cell>
        </row>
        <row r="137">
          <cell r="AE137">
            <v>200</v>
          </cell>
        </row>
        <row r="138">
          <cell r="K138">
            <v>2700</v>
          </cell>
          <cell r="AA138">
            <v>900</v>
          </cell>
        </row>
        <row r="139">
          <cell r="H139">
            <v>800</v>
          </cell>
          <cell r="K139">
            <v>800</v>
          </cell>
        </row>
        <row r="140">
          <cell r="H140">
            <v>80</v>
          </cell>
          <cell r="R140">
            <v>80</v>
          </cell>
        </row>
        <row r="141">
          <cell r="H141">
            <v>1050</v>
          </cell>
        </row>
        <row r="143">
          <cell r="AE143">
            <v>200</v>
          </cell>
        </row>
        <row r="144">
          <cell r="K144">
            <v>600</v>
          </cell>
        </row>
        <row r="145">
          <cell r="H145">
            <v>1100</v>
          </cell>
          <cell r="K145">
            <v>1100</v>
          </cell>
        </row>
        <row r="146">
          <cell r="H146">
            <v>80</v>
          </cell>
          <cell r="R146">
            <v>80</v>
          </cell>
        </row>
        <row r="147">
          <cell r="H147">
            <v>550</v>
          </cell>
        </row>
        <row r="149">
          <cell r="K149">
            <v>300</v>
          </cell>
          <cell r="S149">
            <v>1200</v>
          </cell>
          <cell r="AA149">
            <v>1200</v>
          </cell>
        </row>
        <row r="150">
          <cell r="S150">
            <v>150</v>
          </cell>
          <cell r="AA150">
            <v>100</v>
          </cell>
        </row>
        <row r="151">
          <cell r="H151">
            <v>80</v>
          </cell>
          <cell r="R151">
            <v>80</v>
          </cell>
        </row>
        <row r="152">
          <cell r="H152">
            <v>550</v>
          </cell>
        </row>
        <row r="156">
          <cell r="S156">
            <v>300</v>
          </cell>
          <cell r="AA156">
            <v>200</v>
          </cell>
        </row>
        <row r="157">
          <cell r="S157">
            <v>150</v>
          </cell>
          <cell r="AA157">
            <v>150</v>
          </cell>
        </row>
        <row r="160">
          <cell r="AE160">
            <v>300</v>
          </cell>
        </row>
        <row r="162">
          <cell r="AE162">
            <v>300</v>
          </cell>
        </row>
      </sheetData>
      <sheetData sheetId="16">
        <row r="70">
          <cell r="G70">
            <v>800</v>
          </cell>
          <cell r="Z70">
            <v>800</v>
          </cell>
        </row>
        <row r="72">
          <cell r="G72">
            <v>800</v>
          </cell>
          <cell r="Z72">
            <v>800</v>
          </cell>
        </row>
        <row r="75">
          <cell r="G75">
            <v>800</v>
          </cell>
          <cell r="Z75">
            <v>800</v>
          </cell>
        </row>
        <row r="77">
          <cell r="G77">
            <v>800</v>
          </cell>
        </row>
        <row r="79">
          <cell r="G79">
            <v>4400</v>
          </cell>
          <cell r="K79">
            <v>4400</v>
          </cell>
        </row>
        <row r="81">
          <cell r="G81">
            <v>800</v>
          </cell>
          <cell r="K81">
            <v>800</v>
          </cell>
        </row>
        <row r="83">
          <cell r="G83">
            <v>800</v>
          </cell>
          <cell r="Z83">
            <v>800</v>
          </cell>
        </row>
        <row r="86">
          <cell r="G86">
            <v>800</v>
          </cell>
          <cell r="Z86">
            <v>800</v>
          </cell>
        </row>
        <row r="88">
          <cell r="G88">
            <v>800</v>
          </cell>
          <cell r="Z88">
            <v>800</v>
          </cell>
        </row>
        <row r="90">
          <cell r="G90">
            <v>800</v>
          </cell>
          <cell r="Z90">
            <v>800</v>
          </cell>
        </row>
      </sheetData>
      <sheetData sheetId="17">
        <row r="72">
          <cell r="G72">
            <v>150</v>
          </cell>
          <cell r="R72">
            <v>150</v>
          </cell>
        </row>
        <row r="73">
          <cell r="G73">
            <v>63</v>
          </cell>
          <cell r="R73">
            <v>50</v>
          </cell>
          <cell r="AA73">
            <v>13</v>
          </cell>
        </row>
        <row r="76">
          <cell r="G76">
            <v>21</v>
          </cell>
          <cell r="R76">
            <v>21</v>
          </cell>
        </row>
        <row r="78">
          <cell r="G78">
            <v>35</v>
          </cell>
          <cell r="R78">
            <v>35</v>
          </cell>
        </row>
        <row r="80">
          <cell r="G80">
            <v>77</v>
          </cell>
          <cell r="R80">
            <v>50</v>
          </cell>
          <cell r="AA80">
            <v>27</v>
          </cell>
        </row>
        <row r="82">
          <cell r="G82">
            <v>150</v>
          </cell>
          <cell r="R82">
            <v>150</v>
          </cell>
        </row>
        <row r="83">
          <cell r="G83">
            <v>77</v>
          </cell>
          <cell r="R83">
            <v>50</v>
          </cell>
          <cell r="AA83">
            <v>27</v>
          </cell>
        </row>
        <row r="86">
          <cell r="G86">
            <v>150</v>
          </cell>
          <cell r="R86">
            <v>150</v>
          </cell>
        </row>
        <row r="88">
          <cell r="G88">
            <v>21</v>
          </cell>
          <cell r="R88">
            <v>21</v>
          </cell>
        </row>
        <row r="90">
          <cell r="G90">
            <v>63</v>
          </cell>
          <cell r="R90">
            <v>50</v>
          </cell>
          <cell r="AA90">
            <v>13</v>
          </cell>
        </row>
      </sheetData>
      <sheetData sheetId="18"/>
      <sheetData sheetId="19">
        <row r="47">
          <cell r="D47">
            <v>24</v>
          </cell>
          <cell r="G47">
            <v>3600</v>
          </cell>
          <cell r="K47">
            <v>400</v>
          </cell>
          <cell r="N47">
            <v>100</v>
          </cell>
          <cell r="AA47">
            <v>2400</v>
          </cell>
          <cell r="AD47">
            <v>700</v>
          </cell>
        </row>
        <row r="49">
          <cell r="D49">
            <v>15</v>
          </cell>
          <cell r="G49">
            <v>2250</v>
          </cell>
          <cell r="K49">
            <v>600</v>
          </cell>
          <cell r="N49">
            <v>150</v>
          </cell>
          <cell r="AA49">
            <v>1500</v>
          </cell>
        </row>
        <row r="51">
          <cell r="D51">
            <v>71</v>
          </cell>
          <cell r="G51">
            <v>10650</v>
          </cell>
          <cell r="K51">
            <v>600</v>
          </cell>
          <cell r="N51">
            <v>150</v>
          </cell>
          <cell r="AA51">
            <v>7100</v>
          </cell>
          <cell r="AD51">
            <v>2800</v>
          </cell>
        </row>
        <row r="53">
          <cell r="D53">
            <v>57</v>
          </cell>
          <cell r="G53">
            <v>8550</v>
          </cell>
          <cell r="K53">
            <v>200</v>
          </cell>
          <cell r="N53">
            <v>50</v>
          </cell>
          <cell r="AA53">
            <v>5700</v>
          </cell>
          <cell r="AD53">
            <v>2600</v>
          </cell>
        </row>
      </sheetData>
      <sheetData sheetId="20"/>
      <sheetData sheetId="21">
        <row r="114">
          <cell r="G114">
            <v>45000</v>
          </cell>
          <cell r="AD114">
            <v>45000</v>
          </cell>
        </row>
        <row r="115">
          <cell r="G115">
            <v>25000</v>
          </cell>
          <cell r="AD115">
            <v>25000</v>
          </cell>
        </row>
        <row r="118">
          <cell r="G118">
            <v>4500</v>
          </cell>
          <cell r="Y118">
            <v>4500</v>
          </cell>
        </row>
        <row r="119">
          <cell r="G119">
            <v>500</v>
          </cell>
          <cell r="Y119">
            <v>500</v>
          </cell>
        </row>
        <row r="122">
          <cell r="G122">
            <v>4500</v>
          </cell>
          <cell r="Y122">
            <v>4500</v>
          </cell>
        </row>
        <row r="123">
          <cell r="G123">
            <v>500</v>
          </cell>
          <cell r="Y123">
            <v>500</v>
          </cell>
        </row>
        <row r="125">
          <cell r="G125">
            <v>4500</v>
          </cell>
          <cell r="Y125">
            <v>4500</v>
          </cell>
        </row>
        <row r="126">
          <cell r="G126">
            <v>500</v>
          </cell>
          <cell r="Y126">
            <v>500</v>
          </cell>
        </row>
        <row r="128">
          <cell r="G128">
            <v>4500</v>
          </cell>
          <cell r="Y128">
            <v>4500</v>
          </cell>
        </row>
        <row r="129">
          <cell r="G129">
            <v>500</v>
          </cell>
          <cell r="Y129">
            <v>500</v>
          </cell>
        </row>
      </sheetData>
      <sheetData sheetId="22">
        <row r="168">
          <cell r="G168">
            <v>85000</v>
          </cell>
          <cell r="Z168">
            <v>85000</v>
          </cell>
        </row>
        <row r="173">
          <cell r="G173">
            <v>1500</v>
          </cell>
          <cell r="AE173">
            <v>1500</v>
          </cell>
        </row>
        <row r="174">
          <cell r="D174">
            <v>130</v>
          </cell>
          <cell r="G174">
            <v>130</v>
          </cell>
        </row>
        <row r="176">
          <cell r="G176">
            <v>250</v>
          </cell>
        </row>
        <row r="177">
          <cell r="G177">
            <v>80</v>
          </cell>
          <cell r="AE177">
            <v>80</v>
          </cell>
        </row>
        <row r="178">
          <cell r="D178">
            <v>94</v>
          </cell>
          <cell r="G178">
            <v>94</v>
          </cell>
        </row>
        <row r="179">
          <cell r="D179">
            <v>69</v>
          </cell>
          <cell r="G179">
            <v>690</v>
          </cell>
          <cell r="Q179">
            <v>345</v>
          </cell>
        </row>
        <row r="182">
          <cell r="G182">
            <v>3000</v>
          </cell>
          <cell r="K182">
            <v>3000</v>
          </cell>
        </row>
        <row r="183">
          <cell r="G183">
            <v>100</v>
          </cell>
        </row>
        <row r="184">
          <cell r="G184">
            <v>80</v>
          </cell>
          <cell r="AE184">
            <v>80</v>
          </cell>
        </row>
        <row r="185">
          <cell r="D185">
            <v>321</v>
          </cell>
          <cell r="G185">
            <v>321</v>
          </cell>
        </row>
        <row r="187">
          <cell r="G187">
            <v>300</v>
          </cell>
          <cell r="AE187">
            <v>300</v>
          </cell>
        </row>
        <row r="188">
          <cell r="G188">
            <v>200</v>
          </cell>
        </row>
        <row r="189">
          <cell r="G189">
            <v>100</v>
          </cell>
        </row>
        <row r="190">
          <cell r="G190">
            <v>80</v>
          </cell>
          <cell r="AE190">
            <v>80</v>
          </cell>
        </row>
        <row r="191">
          <cell r="D191">
            <v>225</v>
          </cell>
          <cell r="G191">
            <v>225</v>
          </cell>
        </row>
        <row r="192">
          <cell r="D192">
            <v>17</v>
          </cell>
          <cell r="G192">
            <v>170</v>
          </cell>
          <cell r="Q192">
            <v>85</v>
          </cell>
        </row>
        <row r="193">
          <cell r="D193">
            <v>90</v>
          </cell>
          <cell r="G193">
            <v>900</v>
          </cell>
          <cell r="Q193">
            <v>450</v>
          </cell>
        </row>
        <row r="195">
          <cell r="G195">
            <v>300</v>
          </cell>
          <cell r="AE195">
            <v>300</v>
          </cell>
        </row>
        <row r="196">
          <cell r="G196">
            <v>200</v>
          </cell>
        </row>
        <row r="197">
          <cell r="G197">
            <v>100</v>
          </cell>
        </row>
        <row r="198">
          <cell r="G198">
            <v>80</v>
          </cell>
          <cell r="AE198">
            <v>80</v>
          </cell>
        </row>
        <row r="199">
          <cell r="D199">
            <v>85</v>
          </cell>
          <cell r="G199">
            <v>85</v>
          </cell>
        </row>
        <row r="201">
          <cell r="G201">
            <v>200</v>
          </cell>
        </row>
        <row r="202">
          <cell r="G202">
            <v>820</v>
          </cell>
          <cell r="Q202">
            <v>410</v>
          </cell>
        </row>
        <row r="203">
          <cell r="G203">
            <v>100</v>
          </cell>
        </row>
        <row r="204">
          <cell r="G204">
            <v>80</v>
          </cell>
          <cell r="AE204">
            <v>80</v>
          </cell>
        </row>
        <row r="205">
          <cell r="D205">
            <v>228</v>
          </cell>
          <cell r="G205">
            <v>228</v>
          </cell>
        </row>
        <row r="207">
          <cell r="G207">
            <v>200</v>
          </cell>
        </row>
        <row r="208">
          <cell r="G208">
            <v>100</v>
          </cell>
        </row>
        <row r="209">
          <cell r="G209">
            <v>80</v>
          </cell>
          <cell r="AE209">
            <v>80</v>
          </cell>
        </row>
        <row r="210">
          <cell r="D210">
            <v>154</v>
          </cell>
          <cell r="G210">
            <v>154</v>
          </cell>
        </row>
        <row r="211">
          <cell r="D211">
            <v>69</v>
          </cell>
          <cell r="G211">
            <v>690</v>
          </cell>
          <cell r="Q211">
            <v>345</v>
          </cell>
        </row>
        <row r="214">
          <cell r="G214">
            <v>150</v>
          </cell>
        </row>
        <row r="215">
          <cell r="G215">
            <v>80</v>
          </cell>
          <cell r="AE215">
            <v>80</v>
          </cell>
        </row>
        <row r="216">
          <cell r="D216">
            <v>155</v>
          </cell>
          <cell r="G216">
            <v>155</v>
          </cell>
        </row>
        <row r="217">
          <cell r="D217">
            <v>10</v>
          </cell>
          <cell r="G217">
            <v>100</v>
          </cell>
          <cell r="Q217">
            <v>50</v>
          </cell>
        </row>
      </sheetData>
      <sheetData sheetId="23"/>
      <sheetData sheetId="24"/>
      <sheetData sheetId="25"/>
      <sheetData sheetId="26"/>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B1 2025. "/>
      <sheetName val="Biểu 2023 TH"/>
      <sheetName val="B2 (DA12023)"/>
      <sheetName val="B3 (DA22023)"/>
      <sheetName val="B4 (DA32023)"/>
      <sheetName val="Sheet5"/>
      <sheetName val="B5 (DA42023)"/>
      <sheetName val="B6 (DA52023)"/>
      <sheetName val="B7 (DA62023)"/>
      <sheetName val="B8 (DA92023)"/>
      <sheetName val="B9 (DA102023)"/>
    </sheetNames>
    <sheetDataSet>
      <sheetData sheetId="0" refreshError="1"/>
      <sheetData sheetId="1" refreshError="1"/>
      <sheetData sheetId="2" refreshError="1">
        <row r="24">
          <cell r="V24">
            <v>2800</v>
          </cell>
          <cell r="W24">
            <v>2800</v>
          </cell>
        </row>
        <row r="25">
          <cell r="V25">
            <v>2800</v>
          </cell>
          <cell r="W25">
            <v>2800</v>
          </cell>
        </row>
        <row r="27">
          <cell r="V27">
            <v>400</v>
          </cell>
          <cell r="W27">
            <v>400</v>
          </cell>
        </row>
        <row r="34">
          <cell r="W34">
            <v>300</v>
          </cell>
        </row>
        <row r="35">
          <cell r="W35">
            <v>2500</v>
          </cell>
        </row>
        <row r="36">
          <cell r="W36">
            <v>2800</v>
          </cell>
        </row>
        <row r="38">
          <cell r="W38">
            <v>400</v>
          </cell>
        </row>
        <row r="52">
          <cell r="V52">
            <v>2700</v>
          </cell>
          <cell r="W52">
            <v>2700</v>
          </cell>
        </row>
        <row r="54">
          <cell r="V54">
            <v>300</v>
          </cell>
          <cell r="W54">
            <v>300</v>
          </cell>
        </row>
      </sheetData>
      <sheetData sheetId="3" refreshError="1"/>
      <sheetData sheetId="4" refreshError="1"/>
      <sheetData sheetId="5" refreshError="1"/>
      <sheetData sheetId="6" refreshError="1">
        <row r="15">
          <cell r="V15">
            <v>6283</v>
          </cell>
          <cell r="W15">
            <v>4500</v>
          </cell>
          <cell r="X15">
            <v>1783</v>
          </cell>
        </row>
        <row r="16">
          <cell r="V16">
            <v>6720</v>
          </cell>
          <cell r="W16">
            <v>5283</v>
          </cell>
          <cell r="X16">
            <v>1437</v>
          </cell>
        </row>
        <row r="17">
          <cell r="V17">
            <v>11147</v>
          </cell>
          <cell r="W17">
            <v>8602</v>
          </cell>
          <cell r="X17">
            <v>2545</v>
          </cell>
        </row>
        <row r="29">
          <cell r="V29">
            <v>2000</v>
          </cell>
          <cell r="W29">
            <v>2000</v>
          </cell>
        </row>
        <row r="31">
          <cell r="W31">
            <v>326</v>
          </cell>
        </row>
        <row r="32">
          <cell r="V32">
            <v>600</v>
          </cell>
          <cell r="W32">
            <v>600</v>
          </cell>
        </row>
        <row r="33">
          <cell r="V33">
            <v>1834</v>
          </cell>
          <cell r="W33">
            <v>1834</v>
          </cell>
        </row>
        <row r="34">
          <cell r="V34">
            <v>800</v>
          </cell>
          <cell r="W34">
            <v>800</v>
          </cell>
        </row>
        <row r="35">
          <cell r="W35">
            <v>1580</v>
          </cell>
        </row>
        <row r="39">
          <cell r="V39">
            <v>700</v>
          </cell>
          <cell r="W39">
            <v>700</v>
          </cell>
        </row>
        <row r="40">
          <cell r="V40">
            <v>1699</v>
          </cell>
          <cell r="W40">
            <v>1699</v>
          </cell>
        </row>
        <row r="45">
          <cell r="V45">
            <v>2099</v>
          </cell>
          <cell r="W45">
            <v>2099</v>
          </cell>
        </row>
        <row r="46">
          <cell r="W46">
            <v>200</v>
          </cell>
        </row>
        <row r="47">
          <cell r="W47">
            <v>1298</v>
          </cell>
        </row>
        <row r="48">
          <cell r="V48">
            <v>345</v>
          </cell>
          <cell r="W48">
            <v>345</v>
          </cell>
        </row>
        <row r="49">
          <cell r="V49">
            <v>230</v>
          </cell>
          <cell r="W49">
            <v>230</v>
          </cell>
        </row>
        <row r="51">
          <cell r="V51">
            <v>180</v>
          </cell>
          <cell r="W51">
            <v>180</v>
          </cell>
        </row>
        <row r="52">
          <cell r="V52">
            <v>1200</v>
          </cell>
          <cell r="W52">
            <v>1200</v>
          </cell>
        </row>
        <row r="53">
          <cell r="W53">
            <v>480</v>
          </cell>
        </row>
        <row r="54">
          <cell r="V54">
            <v>800</v>
          </cell>
          <cell r="W54">
            <v>800</v>
          </cell>
        </row>
        <row r="55">
          <cell r="V55">
            <v>2687</v>
          </cell>
          <cell r="W55">
            <v>2687</v>
          </cell>
        </row>
        <row r="56">
          <cell r="V56">
            <v>3500</v>
          </cell>
          <cell r="W56">
            <v>3500</v>
          </cell>
        </row>
        <row r="57">
          <cell r="V57">
            <v>100</v>
          </cell>
          <cell r="W57">
            <v>100</v>
          </cell>
        </row>
        <row r="59">
          <cell r="V59">
            <v>100</v>
          </cell>
          <cell r="W59">
            <v>100</v>
          </cell>
        </row>
        <row r="60">
          <cell r="V60">
            <v>451</v>
          </cell>
          <cell r="W60">
            <v>451</v>
          </cell>
        </row>
        <row r="61">
          <cell r="V61">
            <v>200</v>
          </cell>
          <cell r="W61">
            <v>200</v>
          </cell>
        </row>
        <row r="62">
          <cell r="V62">
            <v>200</v>
          </cell>
          <cell r="W62">
            <v>200</v>
          </cell>
        </row>
        <row r="63">
          <cell r="V63">
            <v>100</v>
          </cell>
          <cell r="W63">
            <v>100</v>
          </cell>
        </row>
        <row r="64">
          <cell r="V64">
            <v>100</v>
          </cell>
          <cell r="W64">
            <v>100</v>
          </cell>
        </row>
        <row r="65">
          <cell r="V65">
            <v>100</v>
          </cell>
          <cell r="W65">
            <v>100</v>
          </cell>
        </row>
        <row r="66">
          <cell r="V66">
            <v>200</v>
          </cell>
          <cell r="W66">
            <v>200</v>
          </cell>
        </row>
        <row r="67">
          <cell r="V67">
            <v>100</v>
          </cell>
          <cell r="W67">
            <v>100</v>
          </cell>
        </row>
        <row r="71">
          <cell r="W71">
            <v>50</v>
          </cell>
        </row>
        <row r="72">
          <cell r="W72">
            <v>1300</v>
          </cell>
        </row>
        <row r="81">
          <cell r="W81">
            <v>806</v>
          </cell>
        </row>
        <row r="90">
          <cell r="V90">
            <v>1185</v>
          </cell>
          <cell r="W90">
            <v>1185</v>
          </cell>
        </row>
        <row r="91">
          <cell r="V91">
            <v>700</v>
          </cell>
          <cell r="W91">
            <v>700</v>
          </cell>
        </row>
        <row r="93">
          <cell r="V93">
            <v>100</v>
          </cell>
          <cell r="W93">
            <v>100</v>
          </cell>
        </row>
        <row r="96">
          <cell r="W96">
            <v>345</v>
          </cell>
        </row>
        <row r="99">
          <cell r="V99">
            <v>816</v>
          </cell>
          <cell r="W99">
            <v>816</v>
          </cell>
        </row>
        <row r="100">
          <cell r="V100">
            <v>260</v>
          </cell>
          <cell r="W100">
            <v>260</v>
          </cell>
        </row>
        <row r="107">
          <cell r="V107">
            <v>400</v>
          </cell>
          <cell r="W107">
            <v>400</v>
          </cell>
        </row>
        <row r="108">
          <cell r="V108">
            <v>400</v>
          </cell>
          <cell r="W108">
            <v>400</v>
          </cell>
        </row>
        <row r="109">
          <cell r="V109">
            <v>580</v>
          </cell>
          <cell r="W109">
            <v>580</v>
          </cell>
        </row>
        <row r="111">
          <cell r="V111">
            <v>847</v>
          </cell>
          <cell r="W111">
            <v>500</v>
          </cell>
          <cell r="X111">
            <v>347</v>
          </cell>
        </row>
        <row r="112">
          <cell r="V112">
            <v>800</v>
          </cell>
          <cell r="W112">
            <v>800</v>
          </cell>
        </row>
        <row r="113">
          <cell r="V113">
            <v>3700</v>
          </cell>
          <cell r="W113">
            <v>3700</v>
          </cell>
        </row>
        <row r="115">
          <cell r="V115">
            <v>99</v>
          </cell>
          <cell r="W115">
            <v>99</v>
          </cell>
        </row>
        <row r="117">
          <cell r="V117">
            <v>692</v>
          </cell>
          <cell r="W117">
            <v>692</v>
          </cell>
        </row>
        <row r="123">
          <cell r="V123">
            <v>50</v>
          </cell>
          <cell r="W123">
            <v>50</v>
          </cell>
        </row>
        <row r="124">
          <cell r="V124">
            <v>50</v>
          </cell>
          <cell r="W124">
            <v>50</v>
          </cell>
        </row>
        <row r="144">
          <cell r="V144">
            <v>300</v>
          </cell>
          <cell r="W144">
            <v>300</v>
          </cell>
        </row>
        <row r="145">
          <cell r="W145">
            <v>2087</v>
          </cell>
        </row>
        <row r="146">
          <cell r="V146">
            <v>350</v>
          </cell>
          <cell r="W146">
            <v>350</v>
          </cell>
        </row>
        <row r="148">
          <cell r="W148">
            <v>600</v>
          </cell>
        </row>
        <row r="157">
          <cell r="V157">
            <v>1035</v>
          </cell>
          <cell r="W157">
            <v>1035</v>
          </cell>
        </row>
        <row r="181">
          <cell r="V181">
            <v>440</v>
          </cell>
          <cell r="W181">
            <v>440</v>
          </cell>
        </row>
        <row r="186">
          <cell r="V186">
            <v>54</v>
          </cell>
          <cell r="W186">
            <v>54</v>
          </cell>
        </row>
        <row r="188">
          <cell r="V188">
            <v>340</v>
          </cell>
          <cell r="W188">
            <v>340</v>
          </cell>
        </row>
        <row r="189">
          <cell r="V189">
            <v>3800</v>
          </cell>
          <cell r="W189">
            <v>3800</v>
          </cell>
        </row>
        <row r="190">
          <cell r="V190">
            <v>100</v>
          </cell>
          <cell r="W190">
            <v>100</v>
          </cell>
        </row>
        <row r="193">
          <cell r="V193">
            <v>130</v>
          </cell>
          <cell r="W193">
            <v>130</v>
          </cell>
        </row>
        <row r="199">
          <cell r="V199">
            <v>150</v>
          </cell>
          <cell r="W199">
            <v>150</v>
          </cell>
        </row>
        <row r="202">
          <cell r="W202">
            <v>150</v>
          </cell>
        </row>
        <row r="204">
          <cell r="V204">
            <v>70</v>
          </cell>
        </row>
        <row r="205">
          <cell r="V205">
            <v>70</v>
          </cell>
          <cell r="W205">
            <v>70</v>
          </cell>
        </row>
        <row r="219">
          <cell r="V219">
            <v>2000</v>
          </cell>
          <cell r="W219">
            <v>2000</v>
          </cell>
        </row>
        <row r="236">
          <cell r="V236">
            <v>971</v>
          </cell>
          <cell r="W236">
            <v>971</v>
          </cell>
        </row>
        <row r="261">
          <cell r="V261">
            <v>100</v>
          </cell>
          <cell r="W261">
            <v>100</v>
          </cell>
        </row>
        <row r="265">
          <cell r="V265">
            <v>400</v>
          </cell>
          <cell r="W265">
            <v>400</v>
          </cell>
        </row>
        <row r="268">
          <cell r="W268">
            <v>550</v>
          </cell>
        </row>
        <row r="284">
          <cell r="V284">
            <v>514</v>
          </cell>
        </row>
        <row r="286">
          <cell r="V286">
            <v>1227</v>
          </cell>
        </row>
        <row r="289">
          <cell r="V289">
            <v>1660</v>
          </cell>
        </row>
        <row r="294">
          <cell r="V294">
            <v>911</v>
          </cell>
        </row>
        <row r="310">
          <cell r="V310">
            <v>100</v>
          </cell>
        </row>
        <row r="311">
          <cell r="V311">
            <v>1007</v>
          </cell>
        </row>
        <row r="316">
          <cell r="V316">
            <v>50</v>
          </cell>
        </row>
        <row r="320">
          <cell r="V320">
            <v>345</v>
          </cell>
        </row>
        <row r="345">
          <cell r="W345">
            <v>4000</v>
          </cell>
        </row>
      </sheetData>
      <sheetData sheetId="7" refreshError="1">
        <row r="19">
          <cell r="T19">
            <v>2242</v>
          </cell>
          <cell r="U19">
            <v>1900</v>
          </cell>
          <cell r="V19">
            <v>342</v>
          </cell>
        </row>
        <row r="20">
          <cell r="T20">
            <v>2477</v>
          </cell>
          <cell r="U20">
            <v>2007</v>
          </cell>
          <cell r="V20">
            <v>470</v>
          </cell>
        </row>
        <row r="23">
          <cell r="T23">
            <v>1000</v>
          </cell>
          <cell r="U23">
            <v>1000</v>
          </cell>
        </row>
        <row r="24">
          <cell r="T24">
            <v>1000</v>
          </cell>
          <cell r="U24">
            <v>1000</v>
          </cell>
        </row>
        <row r="25">
          <cell r="T25">
            <v>3361</v>
          </cell>
          <cell r="U25">
            <v>3361</v>
          </cell>
        </row>
        <row r="26">
          <cell r="T26">
            <v>3040</v>
          </cell>
          <cell r="U26">
            <v>3040</v>
          </cell>
        </row>
        <row r="28">
          <cell r="T28">
            <v>500</v>
          </cell>
          <cell r="U28">
            <v>500</v>
          </cell>
        </row>
        <row r="29">
          <cell r="T29">
            <v>600</v>
          </cell>
          <cell r="U29">
            <v>600</v>
          </cell>
        </row>
        <row r="32">
          <cell r="T32">
            <v>1215</v>
          </cell>
          <cell r="U32">
            <v>1215</v>
          </cell>
        </row>
        <row r="33">
          <cell r="T33">
            <v>8147</v>
          </cell>
          <cell r="U33">
            <v>4700</v>
          </cell>
          <cell r="V33">
            <v>3447</v>
          </cell>
        </row>
        <row r="34">
          <cell r="T34">
            <v>5092</v>
          </cell>
        </row>
        <row r="35">
          <cell r="T35">
            <v>4150</v>
          </cell>
          <cell r="U35">
            <v>4150</v>
          </cell>
        </row>
        <row r="37">
          <cell r="T37">
            <v>400</v>
          </cell>
        </row>
        <row r="41">
          <cell r="T41">
            <v>500</v>
          </cell>
          <cell r="V41">
            <v>500</v>
          </cell>
        </row>
        <row r="42">
          <cell r="T42">
            <v>1518</v>
          </cell>
          <cell r="U42">
            <v>618</v>
          </cell>
          <cell r="V42">
            <v>900</v>
          </cell>
        </row>
        <row r="43">
          <cell r="T43">
            <v>3610</v>
          </cell>
          <cell r="U43">
            <v>3000</v>
          </cell>
          <cell r="V43">
            <v>610</v>
          </cell>
        </row>
        <row r="44">
          <cell r="T44">
            <v>4482</v>
          </cell>
          <cell r="U44">
            <v>4482</v>
          </cell>
        </row>
        <row r="45">
          <cell r="T45">
            <v>5250</v>
          </cell>
          <cell r="U45">
            <v>5250</v>
          </cell>
        </row>
        <row r="46">
          <cell r="T46">
            <v>3518</v>
          </cell>
          <cell r="U46">
            <v>2126</v>
          </cell>
          <cell r="V46">
            <v>1392</v>
          </cell>
        </row>
        <row r="48">
          <cell r="T48">
            <v>400</v>
          </cell>
          <cell r="U48">
            <v>400</v>
          </cell>
        </row>
        <row r="49">
          <cell r="T49">
            <v>500</v>
          </cell>
          <cell r="U49">
            <v>500</v>
          </cell>
        </row>
        <row r="52">
          <cell r="T52">
            <v>1900</v>
          </cell>
          <cell r="U52">
            <v>1540</v>
          </cell>
          <cell r="V52">
            <v>360</v>
          </cell>
        </row>
        <row r="53">
          <cell r="U53">
            <v>4287</v>
          </cell>
          <cell r="V53">
            <v>522</v>
          </cell>
        </row>
        <row r="54">
          <cell r="T54">
            <v>3191</v>
          </cell>
          <cell r="U54">
            <v>2741</v>
          </cell>
          <cell r="V54">
            <v>450</v>
          </cell>
        </row>
        <row r="56">
          <cell r="T56">
            <v>837</v>
          </cell>
          <cell r="U56">
            <v>500</v>
          </cell>
          <cell r="V56">
            <v>337</v>
          </cell>
        </row>
      </sheetData>
      <sheetData sheetId="8" refreshError="1"/>
      <sheetData sheetId="9" refreshError="1">
        <row r="16">
          <cell r="T16">
            <v>200</v>
          </cell>
        </row>
        <row r="17">
          <cell r="T17">
            <v>701</v>
          </cell>
        </row>
        <row r="18">
          <cell r="T18">
            <v>1300</v>
          </cell>
        </row>
        <row r="19">
          <cell r="T19">
            <v>1158</v>
          </cell>
        </row>
        <row r="21">
          <cell r="T21">
            <v>150</v>
          </cell>
        </row>
        <row r="29">
          <cell r="T29">
            <v>2200</v>
          </cell>
        </row>
        <row r="30">
          <cell r="T30">
            <v>3614</v>
          </cell>
        </row>
        <row r="31">
          <cell r="T31">
            <v>350</v>
          </cell>
        </row>
        <row r="36">
          <cell r="T36">
            <v>250</v>
          </cell>
        </row>
        <row r="37">
          <cell r="T37">
            <v>1294</v>
          </cell>
        </row>
        <row r="39">
          <cell r="T39">
            <v>2600</v>
          </cell>
        </row>
        <row r="40">
          <cell r="T40">
            <v>1200</v>
          </cell>
        </row>
      </sheetData>
      <sheetData sheetId="1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Gia VL (QII-2006)"/>
      <sheetName val="THTDT"/>
      <sheetName val="D.chau"/>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TONG HOP VL-NC_x0000_TT"/>
      <sheetName val="TONG HOP VL-NC?TT"/>
      <sheetName val="ctdg"/>
      <sheetName val="Tong hop kinh phi"/>
      <sheetName val="KH_Q1_Q2_01"/>
      <sheetName val="TONG HOP VL-NC_TT"/>
      <sheetName val="bia"/>
      <sheetName val="ky (2)"/>
      <sheetName val="TH"/>
      <sheetName val="DT"/>
      <sheetName val="KLtuyen"/>
      <sheetName val="1m"/>
      <sheetName val="VTB"/>
      <sheetName val="PT"/>
      <sheetName val="ky"/>
      <sheetName val="XXXXXXXX"/>
      <sheetName val="00000000"/>
      <sheetName val="10000000"/>
      <sheetName val="20000000"/>
      <sheetName val="ၤongiaXD"/>
      <sheetName val="CHITIET VL-NC-TT1p"/>
      <sheetName val="CHITI"/>
      <sheetName val="DG_x0006_"/>
      <sheetName val=""/>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D_chau"/>
      <sheetName val="Gia_VL_(QII-2006)"/>
      <sheetName val="TONG_HOP_VL_NC"/>
      <sheetName val="CHITIET_VL_NC_TT__1p"/>
      <sheetName val="TONG_HOP_VL_NC_TT"/>
      <sheetName val="KPVC_BD_"/>
      <sheetName val="CHITIET_VL_NC_TT_3p"/>
      <sheetName val="CHITIET_VL_NC"/>
      <sheetName val="THPDMoi___2_"/>
      <sheetName val="t_h_HA_THE"/>
      <sheetName val="TH_VL__NC__DDHT_Thanhphuoc"/>
      <sheetName val="dongia__2_"/>
      <sheetName val="TONG_HOP_VL-NCTT"/>
      <sheetName val="ky_(2)"/>
      <sheetName val="CHITI__ VL-NC-TT-3p"/>
      <sheetName val="ptvt"/>
      <sheetName val="Bu_vat_lieu"/>
      <sheetName val="MTO REV.2(ARMOR)"/>
      <sheetName val="BANG KL"/>
      <sheetName val="g_trinhSS3"/>
      <sheetName val="PLgtrBTTCSS3"/>
      <sheetName val="PLgtrdatSS3"/>
      <sheetName val="CT -THVLNC"/>
      <sheetName val="CHITI_x0000__x0000_ VL-NC-TT-3p"/>
      <sheetName val="DG_x0006__x0000__x0000_DONGIA_x0007__x0000__x0000_chitimc_x0004__x0000__x0000_dtxl_x0006__x0000__x0000_"/>
      <sheetName val="CHITI?? VL-NC-TT-3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Dien"/>
      <sheetName val="Sheet1"/>
    </sheetNames>
    <sheetDataSet>
      <sheetData sheetId="0" refreshError="1">
        <row r="44">
          <cell r="H44">
            <v>14185</v>
          </cell>
        </row>
        <row r="45">
          <cell r="H45">
            <v>10662</v>
          </cell>
        </row>
        <row r="47">
          <cell r="H47">
            <v>10069</v>
          </cell>
        </row>
        <row r="48">
          <cell r="H48">
            <v>11535</v>
          </cell>
        </row>
        <row r="49">
          <cell r="H49">
            <v>4896</v>
          </cell>
        </row>
      </sheetData>
      <sheetData sheetId="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B1 2025. "/>
      <sheetName val="Biểu 2023 TH"/>
      <sheetName val="B2 (DA12023)"/>
      <sheetName val="B3 (DA22023)"/>
      <sheetName val="B4 (DA32023)"/>
      <sheetName val="Sheet5"/>
      <sheetName val="B5 (DA42023)"/>
      <sheetName val="B6 (DA52023)"/>
      <sheetName val="B7 (DA62023)"/>
      <sheetName val="B8 (DA92023)"/>
      <sheetName val="B9 (DA102023)"/>
    </sheetNames>
    <sheetDataSet>
      <sheetData sheetId="0" refreshError="1"/>
      <sheetData sheetId="1" refreshError="1"/>
      <sheetData sheetId="2" refreshError="1"/>
      <sheetData sheetId="3" refreshError="1"/>
      <sheetData sheetId="4" refreshError="1"/>
      <sheetData sheetId="5" refreshError="1"/>
      <sheetData sheetId="6">
        <row r="142">
          <cell r="W142">
            <v>521</v>
          </cell>
        </row>
        <row r="280">
          <cell r="W280">
            <v>120</v>
          </cell>
        </row>
        <row r="293">
          <cell r="W293">
            <v>100</v>
          </cell>
        </row>
        <row r="298">
          <cell r="W298">
            <v>300</v>
          </cell>
        </row>
        <row r="299">
          <cell r="W299">
            <v>300</v>
          </cell>
        </row>
        <row r="300">
          <cell r="W300">
            <v>507</v>
          </cell>
        </row>
        <row r="301">
          <cell r="W301">
            <v>50</v>
          </cell>
        </row>
        <row r="306">
          <cell r="W306">
            <v>300</v>
          </cell>
        </row>
        <row r="307">
          <cell r="W307">
            <v>300</v>
          </cell>
        </row>
        <row r="317">
          <cell r="W317">
            <v>148</v>
          </cell>
        </row>
      </sheetData>
      <sheetData sheetId="7" refreshError="1"/>
      <sheetData sheetId="8" refreshError="1"/>
      <sheetData sheetId="9" refreshError="1"/>
      <sheetData sheetId="1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A5"/>
    </sheetNames>
    <sheetDataSet>
      <sheetData sheetId="0">
        <row r="21">
          <cell r="R21">
            <v>5610</v>
          </cell>
        </row>
        <row r="22">
          <cell r="R22">
            <v>6305</v>
          </cell>
        </row>
        <row r="23">
          <cell r="R23">
            <v>11889</v>
          </cell>
        </row>
        <row r="24">
          <cell r="R24">
            <v>9240</v>
          </cell>
        </row>
        <row r="25">
          <cell r="R25">
            <v>11672</v>
          </cell>
        </row>
        <row r="26">
          <cell r="R26">
            <v>11750</v>
          </cell>
        </row>
        <row r="27">
          <cell r="R27">
            <v>3588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tartUp"/>
      <sheetName val="Huyen TP"/>
      <sheetName val="CQĐV tỉnh"/>
      <sheetName val="Tổng hợp"/>
      <sheetName val="TP02"/>
      <sheetName val="TP03"/>
      <sheetName val="TP06"/>
      <sheetName val="TP07"/>
      <sheetName val="TP08"/>
      <sheetName val="TP09"/>
      <sheetName val="TP10"/>
      <sheetName val="TP11"/>
      <sheetName val="B"/>
    </sheetNames>
    <sheetDataSet>
      <sheetData sheetId="0"/>
      <sheetData sheetId="1">
        <row r="21">
          <cell r="D21">
            <v>500</v>
          </cell>
          <cell r="E21">
            <v>2945</v>
          </cell>
          <cell r="F21">
            <v>1410.596</v>
          </cell>
          <cell r="G21">
            <v>80</v>
          </cell>
          <cell r="H21">
            <v>720</v>
          </cell>
          <cell r="I21">
            <v>864.25</v>
          </cell>
          <cell r="J21">
            <v>1200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3.1 TDA1 LN"/>
      <sheetName val="3.3. TDA2"/>
    </sheetNames>
    <sheetDataSet>
      <sheetData sheetId="0">
        <row r="24">
          <cell r="L24">
            <v>9790</v>
          </cell>
        </row>
        <row r="25">
          <cell r="L25">
            <v>3911</v>
          </cell>
        </row>
      </sheetData>
      <sheetData sheetId="1">
        <row r="23">
          <cell r="M23">
            <v>6335</v>
          </cell>
        </row>
        <row r="24">
          <cell r="M24">
            <v>7092</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Biểu TH"/>
      <sheetName val="Phu bieu khoi tinh"/>
    </sheetNames>
    <sheetDataSet>
      <sheetData sheetId="0" refreshError="1">
        <row r="35">
          <cell r="G35">
            <v>24497</v>
          </cell>
        </row>
        <row r="36">
          <cell r="G36">
            <v>10375</v>
          </cell>
        </row>
        <row r="37">
          <cell r="G37">
            <v>10245</v>
          </cell>
        </row>
        <row r="38">
          <cell r="G38">
            <v>7222</v>
          </cell>
        </row>
        <row r="39">
          <cell r="G39">
            <v>112</v>
          </cell>
        </row>
      </sheetData>
      <sheetData sheetId="1"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tartUp"/>
      <sheetName val="Biểu 1 Chi tiết"/>
      <sheetName val="Ptich ngluc"/>
      <sheetName val="Huy dong"/>
      <sheetName val="Biểu 2 phân nguồn"/>
      <sheetName val="Biểu 03"/>
      <sheetName val="SN GN"/>
      <sheetName val="DT GNBV"/>
      <sheetName val="SN GNBV"/>
      <sheetName val="NTM"/>
      <sheetName val="KM"/>
      <sheetName val="GTNT"/>
      <sheetName val="Cầu"/>
      <sheetName val="LB"/>
      <sheetName val="NH"/>
      <sheetName val="CH"/>
      <sheetName val="YS"/>
      <sheetName val="HY"/>
      <sheetName val="TC huyen HY"/>
      <sheetName val="SD"/>
      <sheetName val="Tín dụng"/>
      <sheetName val="Điện"/>
    </sheetNames>
    <sheetDataSet>
      <sheetData sheetId="0" refreshError="1"/>
      <sheetData sheetId="1" refreshError="1"/>
      <sheetData sheetId="2" refreshError="1"/>
      <sheetData sheetId="3" refreshError="1"/>
      <sheetData sheetId="4">
        <row r="21">
          <cell r="G21">
            <v>3031.2699999999968</v>
          </cell>
          <cell r="I21">
            <v>2545</v>
          </cell>
          <cell r="K21">
            <v>3402</v>
          </cell>
          <cell r="M21">
            <v>1669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Biểu 1"/>
      <sheetName val="Bieu 2 .."/>
      <sheetName val="GNBV"/>
      <sheetName val="Bieu 3."/>
      <sheetName val="Bieu 2"/>
      <sheetName val="biêu 3"/>
      <sheetName val="Bieu 3"/>
      <sheetName val="B 5 duy tu"/>
      <sheetName val="Bieu 6."/>
      <sheetName val="bieu 6"/>
      <sheetName val="Bieu 7"/>
    </sheetNames>
    <sheetDataSet>
      <sheetData sheetId="0">
        <row r="3">
          <cell r="A3" t="str">
            <v>(Kèm theo Quyết định số 70/QĐ-UBND ngày 28/02/2023 của Ủy ban nhân dân tỉnh)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Von TW nam 2023"/>
    </sheetNames>
    <sheetDataSet>
      <sheetData sheetId="0">
        <row r="10">
          <cell r="B10" t="str">
            <v>Bổ sung vốn xây dựng mới 02 phòng học bộ môn trường THCS Xuân Quang</v>
          </cell>
          <cell r="C10">
            <v>135</v>
          </cell>
        </row>
        <row r="12">
          <cell r="C12">
            <v>1100</v>
          </cell>
        </row>
        <row r="14">
          <cell r="C14">
            <v>500</v>
          </cell>
        </row>
        <row r="16">
          <cell r="C16">
            <v>4503.3</v>
          </cell>
        </row>
        <row r="18">
          <cell r="C18">
            <v>500</v>
          </cell>
        </row>
        <row r="20">
          <cell r="C20">
            <v>700</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Kangatang"/>
      <sheetName val="Sheet1"/>
      <sheetName val="KH 2021-2022"/>
      <sheetName val="Sheet1 (2)"/>
      <sheetName val="Sheet2"/>
      <sheetName val="Sheet3"/>
      <sheetName val="Vốn 2021-2025 (biểu Sở KH)"/>
      <sheetName val="KH 2023"/>
      <sheetName val="KH 21-25"/>
      <sheetName val="các xã"/>
      <sheetName val="xa 2023"/>
      <sheetName val="huyện NTM"/>
    </sheetNames>
    <sheetDataSet>
      <sheetData sheetId="0"/>
      <sheetData sheetId="1"/>
      <sheetData sheetId="2">
        <row r="10">
          <cell r="B10" t="str">
            <v>Xây dựng đường trục xã đoạn từ thôn Vàng Lè sang thôn Đán Khao, xã Chiêu Yên</v>
          </cell>
        </row>
        <row r="11">
          <cell r="B11" t="str">
            <v xml:space="preserve">Xây dựng hóa đường trục xã đoạn từ thôn Cây Chanh, xã Chiêu Yên </v>
          </cell>
        </row>
        <row r="15">
          <cell r="B15" t="str">
            <v>Xây Tường kè chắn đất thôn Động Sơn, xã Chân Sơn</v>
          </cell>
          <cell r="D15">
            <v>300</v>
          </cell>
        </row>
        <row r="17">
          <cell r="B17" t="str">
            <v>Xây dựng cầu tràn liên hợp thôn 7, xã Thái Bình</v>
          </cell>
        </row>
        <row r="22">
          <cell r="B22" t="str">
            <v>Xây dựng bếp ăn Trường Mầm Non Trung tâm xã Phúc Ninh</v>
          </cell>
          <cell r="D22">
            <v>546</v>
          </cell>
        </row>
      </sheetData>
      <sheetData sheetId="3" refreshError="1">
        <row r="23">
          <cell r="F23">
            <v>300</v>
          </cell>
        </row>
        <row r="24">
          <cell r="F24">
            <v>700</v>
          </cell>
        </row>
        <row r="35">
          <cell r="F35">
            <v>1500</v>
          </cell>
        </row>
        <row r="36">
          <cell r="F36">
            <v>625.79999999999995</v>
          </cell>
        </row>
        <row r="37">
          <cell r="F37">
            <v>600</v>
          </cell>
          <cell r="G37" t="str">
            <v>Xât dựng đường trục xã thôn Nam Thắng, xã Chiêu Yên</v>
          </cell>
        </row>
        <row r="38">
          <cell r="F38">
            <v>1100</v>
          </cell>
          <cell r="G38" t="str">
            <v>Xây dựng đường trục xã thôn Đồng Dày đi Vắt Cày, xã Chiêu Yên</v>
          </cell>
        </row>
        <row r="40">
          <cell r="F40">
            <v>1000</v>
          </cell>
          <cell r="G40" t="str">
            <v>Xây dựng công trình thủy lợi Biện Nam thôn Đồng Giàn, xã Chân Sơn</v>
          </cell>
        </row>
        <row r="42">
          <cell r="F42">
            <v>500</v>
          </cell>
          <cell r="G42" t="str">
            <v>Xây dựng đường trục xã thôn Trường Sơn đi xã Trung Môn</v>
          </cell>
        </row>
        <row r="46">
          <cell r="F46">
            <v>800</v>
          </cell>
          <cell r="G46" t="str">
            <v>Xây dựng công trình phụ trợ  trường PTDT bán trú tiểu học và THCS Quý Quân</v>
          </cell>
        </row>
        <row r="47">
          <cell r="F47">
            <v>1200</v>
          </cell>
          <cell r="G47" t="str">
            <v>Xây dựng cầu tràn thôn 3, xã Quý Quân</v>
          </cell>
        </row>
        <row r="49">
          <cell r="F49">
            <v>300</v>
          </cell>
          <cell r="G49" t="str">
            <v>Nâng cấp, sửa chữa trường THCS Phúc Ninh và xây dựng các công trình phụ trợ</v>
          </cell>
        </row>
        <row r="53">
          <cell r="G53" t="str">
            <v>Xã Nhữ Hán</v>
          </cell>
        </row>
        <row r="54">
          <cell r="F54">
            <v>600</v>
          </cell>
          <cell r="G54" t="str">
            <v>Xây dựng đường trục xã đoạn từ đường DH 09 đi thôn Trại Xoan, xã Nhữ Hán</v>
          </cell>
        </row>
        <row r="55">
          <cell r="G55" t="str">
            <v>Xã Tân Tiến</v>
          </cell>
        </row>
        <row r="56">
          <cell r="F56">
            <v>200</v>
          </cell>
          <cell r="G56" t="str">
            <v>Xây dựng các công trình phụ trợ trường tiểu học Tân Tiến phân hiệu Roàng</v>
          </cell>
        </row>
      </sheetData>
      <sheetData sheetId="4" refreshError="1"/>
      <sheetData sheetId="5" refreshError="1"/>
      <sheetData sheetId="6"/>
      <sheetData sheetId="7">
        <row r="14">
          <cell r="B14" t="str">
            <v>Xây dựng cầu máng thủy lợi Tống Đâu, thôn Bản Phú, xã Thổ Bình</v>
          </cell>
        </row>
      </sheetData>
      <sheetData sheetId="8" refreshError="1"/>
      <sheetData sheetId="9" refreshError="1"/>
      <sheetData sheetId="10" refreshError="1"/>
      <sheetData sheetId="11" refreshError="1">
        <row r="6">
          <cell r="B6" t="str">
            <v>Xây dựng bể bơi huyện</v>
          </cell>
          <cell r="D6">
            <v>3000</v>
          </cell>
        </row>
        <row r="7">
          <cell r="B7" t="str">
            <v>Nâng cấp trung tâm Văn hóa - Thể thao huyện đạt chuẩn</v>
          </cell>
          <cell r="D7">
            <v>3000</v>
          </cell>
        </row>
        <row r="8">
          <cell r="B8" t="str">
            <v>Nâng cấp Trung tâm phát thanh của Trung tâm văn hóa Truyền thông và thể thao huyện</v>
          </cell>
          <cell r="D8">
            <v>1000</v>
          </cell>
        </row>
        <row r="9">
          <cell r="B9" t="str">
            <v>Xây dựng phòng học, phòng bộ môn và khối phục vụ học tập, khối hành chính - quản trị; phòng chức năng, nhà đa năng và hạng mục phụ trợ trường THPT Hàm Yên</v>
          </cell>
          <cell r="D9">
            <v>7025.2</v>
          </cell>
        </row>
        <row r="10">
          <cell r="B10" t="str">
            <v>Nâng cấp chợ trung tâm huyện</v>
          </cell>
          <cell r="D10">
            <v>1500</v>
          </cell>
        </row>
        <row r="11">
          <cell r="B11" t="str">
            <v xml:space="preserve">Xây dựng 01 mô hình tái chế chất thải hữu cơ, phụ phẩm nông nghiệp </v>
          </cell>
          <cell r="D11">
            <v>1500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tinh"/>
      <sheetName val="thvatlieu"/>
      <sheetName val="vtthoi1"/>
      <sheetName val="vtthoi2"/>
      <sheetName val="vchuyen"/>
      <sheetName val="n.cong"/>
      <sheetName val="thopdtoan"/>
      <sheetName val="phan giao"/>
      <sheetName val="sheet8"/>
      <sheetName val="sheet9"/>
      <sheetName val="sheet10"/>
      <sheetName val="sheet11"/>
      <sheetName val="sheet12"/>
      <sheetName val="Sheet13"/>
      <sheetName val="Sheet14"/>
      <sheetName val="Sheet15"/>
      <sheetName val="Sheet16"/>
      <sheetName val="bia"/>
      <sheetName val="THKP"/>
      <sheetName val="Xaydung"/>
      <sheetName val="TKL"/>
      <sheetName val="Sheet1"/>
      <sheetName val="00000000"/>
      <sheetName val="Thang 1-06"/>
      <sheetName val="Sheet2"/>
      <sheetName val="Sheet3"/>
      <sheetName val="XL4Test5"/>
      <sheetName val="vtthoh2"/>
      <sheetName val="CTNC"/>
      <sheetName val="CTVL"/>
      <sheetName val="shee49"/>
      <sheetName val="BK04"/>
      <sheetName val="BLuong"/>
      <sheetName val="TKP"/>
      <sheetName val="[DZNHADA.XLS䁝thopdtoan"/>
      <sheetName val="Thaîg 1-06"/>
      <sheetName val="vvthoh2"/>
      <sheetName val="VL,NC,MTC"/>
      <sheetName val="Ctinh 10kV"/>
      <sheetName val="ESTI."/>
      <sheetName val="DI-ESTI"/>
      <sheetName val="_DZNHADA.XLS䁝thopdtoan"/>
      <sheetName val="6tthoh2"/>
      <sheetName val="CHITIET-DZ04"/>
      <sheetName val="PNT-QUOT-#3"/>
      <sheetName val="COAT&amp;WRAP-QIOT-#3"/>
      <sheetName val="gvl"/>
      <sheetName val="[DZNHADA.XLS?thopdtoan"/>
      <sheetName val="_DZNHADA.XLS?thopdtoan"/>
      <sheetName val="_DZNHADA.XLS_thopdtoan"/>
      <sheetName val="LKVL-CK-HT-GD1"/>
      <sheetName val="TONGKE-HT"/>
      <sheetName val="chiet tinh"/>
      <sheetName val="KKKKKKKK"/>
      <sheetName val="gtrinh"/>
      <sheetName val="VCDD_TBA"/>
      <sheetName val="Section"/>
      <sheetName val="Giai trinh"/>
      <sheetName val="TTDZ22"/>
      <sheetName val="Comb"/>
      <sheetName val="g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KH 2023"/>
    </sheetNames>
    <sheetDataSet>
      <sheetData sheetId="0">
        <row r="182">
          <cell r="B182" t="str">
            <v>Xã Đại Phú</v>
          </cell>
        </row>
        <row r="183">
          <cell r="B183" t="str">
            <v>Xây dựng 02 phòng học điểm trường Cây Thông, trường mầm non Đại Phú (giai đoạn 2)</v>
          </cell>
          <cell r="C183">
            <v>1078000</v>
          </cell>
        </row>
        <row r="184">
          <cell r="B184" t="str">
            <v>Xã Kháng Nhật</v>
          </cell>
        </row>
        <row r="185">
          <cell r="B185" t="str">
            <v>Xây dựng đường trục xã: Đoạn từ Nhà văn hoá thôn Lẹm đến cổng ông Cầm Lai (2,1 km), đoạn từ nghĩa trang thôn Ba Khe đến đường ĐT 185 (0,6 km) và đoạn từ thôn Trung Tâm đi thôn Khuôn Phầy (0,9 km)</v>
          </cell>
          <cell r="C185">
            <v>5389000</v>
          </cell>
        </row>
        <row r="187">
          <cell r="B187" t="str">
            <v>Xây dựng nhà mái che trường mầm non Sơn Nam</v>
          </cell>
          <cell r="C187">
            <v>1078000</v>
          </cell>
        </row>
        <row r="188">
          <cell r="B188" t="str">
            <v>Xã Tân Trào</v>
          </cell>
        </row>
        <row r="189">
          <cell r="B189" t="str">
            <v>Xây dựng đường trục thôn</v>
          </cell>
          <cell r="C189">
            <v>832000</v>
          </cell>
        </row>
        <row r="190">
          <cell r="B190" t="str">
            <v>Nâng cấp, cải tạo Nhà văn hoá thôn Tân Lập</v>
          </cell>
          <cell r="C190">
            <v>100000</v>
          </cell>
        </row>
        <row r="191">
          <cell r="B191" t="str">
            <v>Xây dựng cổng và hàng rào nhà văn hoá thôn Tiền Phong và thôn Vĩnh Tân</v>
          </cell>
          <cell r="C191">
            <v>146000</v>
          </cell>
        </row>
        <row r="192">
          <cell r="B192" t="str">
            <v xml:space="preserve">Xã Phú Lương </v>
          </cell>
        </row>
        <row r="193">
          <cell r="B193" t="str">
            <v>Xây dựng nghĩa trang thôn Lão Nhiêu, Lãng Nhiêu</v>
          </cell>
          <cell r="C193">
            <v>200000</v>
          </cell>
        </row>
        <row r="194">
          <cell r="B194" t="str">
            <v>Xây dựng đường vào Trường Mầm non Phú Lương</v>
          </cell>
          <cell r="C194">
            <v>200000</v>
          </cell>
        </row>
        <row r="195">
          <cell r="B195" t="str">
            <v>Xây dựng 06 phòng học trường Mầm non Phú Lương</v>
          </cell>
          <cell r="C195">
            <v>4989000</v>
          </cell>
        </row>
        <row r="196">
          <cell r="B196" t="str">
            <v>Xã Thiện Kế</v>
          </cell>
        </row>
        <row r="197">
          <cell r="B197" t="str">
            <v>Xây dựng rãnh thoát nước thải khu dân cư tại các thôn Vạt Chanh, Cầu Xi</v>
          </cell>
          <cell r="C197">
            <v>1078000</v>
          </cell>
        </row>
        <row r="198">
          <cell r="B198" t="str">
            <v>Xã Ninh Lai</v>
          </cell>
        </row>
        <row r="199">
          <cell r="B199" t="str">
            <v>Sửa chữa, nâng cấp nhà văn hoá xã</v>
          </cell>
          <cell r="C199">
            <v>1078000</v>
          </cell>
        </row>
        <row r="200">
          <cell r="B200" t="str">
            <v>Xã Đông Thọ</v>
          </cell>
        </row>
        <row r="201">
          <cell r="B201" t="str">
            <v>Xây dựng đường trục xã: Đoạn từ ĐT186 đi Ban nghiên cứu không quân và đoạn từ đường ĐH21 đi ĐH 04</v>
          </cell>
        </row>
        <row r="202">
          <cell r="C202">
            <v>300000</v>
          </cell>
        </row>
        <row r="203">
          <cell r="B203" t="str">
            <v>Xã Vân Sơn</v>
          </cell>
        </row>
        <row r="204">
          <cell r="B204" t="str">
            <v>Xây dựng nhà hai tầng các phòng chức năng Trường THCS Vân Sơn</v>
          </cell>
          <cell r="C204">
            <v>5389000</v>
          </cell>
        </row>
        <row r="205">
          <cell r="B205" t="str">
            <v>Xã Tam Đa</v>
          </cell>
        </row>
        <row r="206">
          <cell r="B206" t="str">
            <v>Sửa chữa, nâng cấp công trình thủy lợi đập Dộc Sộp thôn Phú Thọ</v>
          </cell>
          <cell r="C206">
            <v>400000</v>
          </cell>
        </row>
        <row r="207">
          <cell r="B207" t="str">
            <v>Xây dựng đường trục xã đoạn từ đường ĐH04 đến đường xã Tam Đa đi xã Quang Yên</v>
          </cell>
          <cell r="C207">
            <v>500000</v>
          </cell>
        </row>
        <row r="208">
          <cell r="C208">
            <v>600000</v>
          </cell>
        </row>
        <row r="209">
          <cell r="C209">
            <v>500000</v>
          </cell>
        </row>
        <row r="210">
          <cell r="C210">
            <v>300000</v>
          </cell>
        </row>
        <row r="211">
          <cell r="C211">
            <v>300000</v>
          </cell>
        </row>
        <row r="212">
          <cell r="C212">
            <v>300000</v>
          </cell>
        </row>
        <row r="213">
          <cell r="C213">
            <v>300000</v>
          </cell>
        </row>
        <row r="214">
          <cell r="B214" t="str">
            <v>Xây dựng mặt bằng khu vui chơi của xã cho trẻ em và người cao tuổi</v>
          </cell>
          <cell r="C214">
            <v>2189000</v>
          </cell>
        </row>
        <row r="215">
          <cell r="B215" t="str">
            <v>Xã Hồng Lạc</v>
          </cell>
        </row>
        <row r="216">
          <cell r="B216" t="str">
            <v>Xây dựng nhà mái che Trường Mầm non Hồng Lạc</v>
          </cell>
          <cell r="C216">
            <v>500000</v>
          </cell>
        </row>
        <row r="217">
          <cell r="B217" t="str">
            <v>Xây dựng hạng mục phụ trợ (cổng, tường rào,…) 08 nhà văn hoá thôn</v>
          </cell>
          <cell r="C217">
            <v>578000</v>
          </cell>
        </row>
        <row r="218">
          <cell r="B218" t="str">
            <v>Xã Trường Sinh</v>
          </cell>
        </row>
        <row r="219">
          <cell r="B219" t="str">
            <v>Xây dựng 2 phòng chức năng trường TH&amp;THCS Trường Sinh 1</v>
          </cell>
          <cell r="C219">
            <v>1078000</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Vốn 2021-2025 (biểu Sở KH)"/>
      <sheetName val="KH 2023"/>
    </sheetNames>
    <sheetDataSet>
      <sheetData sheetId="0" refreshError="1"/>
      <sheetData sheetId="1" refreshError="1">
        <row r="14">
          <cell r="C14">
            <v>659</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Von TW nam 2023"/>
    </sheetNames>
    <sheetDataSet>
      <sheetData sheetId="0" refreshError="1">
        <row r="7">
          <cell r="B7" t="str">
            <v>Xã Nhân Lý</v>
          </cell>
        </row>
        <row r="8">
          <cell r="B8" t="str">
            <v>Xây dựng công trình Đập thủy lợi Nà Mu xã Nhân Lý</v>
          </cell>
          <cell r="C8">
            <v>500</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00000000"/>
      <sheetName val="XXXXXXXX"/>
      <sheetName val="XXXXXXX0"/>
      <sheetName val="XXXXXXX1"/>
      <sheetName val="TH.Đường GTNT 2023"/>
      <sheetName val="TH.Cầu trên đường GTNT"/>
      <sheetName val="NSTW 2020 (NQ84)"/>
    </sheetNames>
    <sheetDataSet>
      <sheetData sheetId="0" refreshError="1"/>
      <sheetData sheetId="1" refreshError="1"/>
      <sheetData sheetId="2" refreshError="1"/>
      <sheetData sheetId="3" refreshError="1"/>
      <sheetData sheetId="4">
        <row r="4">
          <cell r="A4" t="str">
            <v>(Kèm theo Quyết định số:  38/QĐ-UBND ngày 07/02/2023 của UBND tỉnh)</v>
          </cell>
        </row>
      </sheetData>
      <sheetData sheetId="5" refreshError="1"/>
      <sheetData sheetId="6"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5"/>
      <sheetName val="B10."/>
      <sheetName val="B11."/>
      <sheetName val="B13 (DA22022"/>
      <sheetName val="B14 (DA3 2022"/>
      <sheetName val="DÂN TỘC"/>
      <sheetName val="Tổng hợp"/>
      <sheetName val="Tong hop"/>
      <sheetName val="Sheet2"/>
      <sheetName val="NÔNG THÔN MỚI"/>
      <sheetName val="GIẢM NGHÈO"/>
      <sheetName val="B17 (DA6 2022 )"/>
      <sheetName val="B18 (DA9 2022)"/>
      <sheetName val="B19 (DA10) 202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7">
          <cell r="C77">
            <v>31518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Đề xuất 2023"/>
      <sheetName val="vốn TC huyện"/>
    </sheetNames>
    <sheetDataSet>
      <sheetData sheetId="0">
        <row r="2">
          <cell r="A2" t="str">
            <v>(Kèm theo Báo cáo số    /BC-UBND ngày     /3/2023 của Ủy ban nhân dân huyện Hàm Yên)</v>
          </cell>
          <cell r="B2">
            <v>0</v>
          </cell>
          <cell r="C2">
            <v>0</v>
          </cell>
          <cell r="D2">
            <v>0</v>
          </cell>
          <cell r="E2">
            <v>0</v>
          </cell>
          <cell r="F2">
            <v>0</v>
          </cell>
          <cell r="G2">
            <v>0</v>
          </cell>
          <cell r="H2">
            <v>0</v>
          </cell>
          <cell r="I2">
            <v>0</v>
          </cell>
          <cell r="J2">
            <v>0</v>
          </cell>
          <cell r="K2">
            <v>0</v>
          </cell>
          <cell r="L2">
            <v>0</v>
          </cell>
          <cell r="M2">
            <v>0</v>
          </cell>
          <cell r="N2">
            <v>0</v>
          </cell>
        </row>
      </sheetData>
      <sheetData sheetId="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tartUp"/>
      <sheetName val="NH"/>
      <sheetName val="CH"/>
      <sheetName val="HY"/>
      <sheetName val="YS"/>
      <sheetName val="SD"/>
      <sheetName val="B1-TC NTM"/>
      <sheetName val="B1-TC NCao"/>
      <sheetName val="Tong hop (Lam...)"/>
      <sheetName val="TH (STC 30 tỷ)"/>
      <sheetName val="TH (STC)"/>
      <sheetName val="TH"/>
      <sheetName val="TH (họp)"/>
      <sheetName val="Vốn tỉnh"/>
      <sheetName val="Bieu 02"/>
      <sheetName val="Bieu dieu chinh"/>
      <sheetName val="Sheet1"/>
      <sheetName val="Vốn NTM 2021,2025"/>
      <sheetName val="Tong hop"/>
      <sheetName val="Tong hop (2)"/>
      <sheetName val="SGD 12,9"/>
      <sheetName val="Sheet4"/>
      <sheetName val="Giải trì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1">
          <cell r="J11">
            <v>868</v>
          </cell>
        </row>
        <row r="22">
          <cell r="J22">
            <v>868</v>
          </cell>
        </row>
        <row r="24">
          <cell r="J24">
            <v>868</v>
          </cell>
        </row>
      </sheetData>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h¸mo"/>
      <sheetName val="ldtb"/>
      <sheetName val="bao on do"/>
      <sheetName val="Sheet16"/>
      <sheetName val="Sheet17"/>
      <sheetName val="Sheet18"/>
      <sheetName val="Sheet19"/>
      <sheetName val="Sheet20"/>
      <sheetName val="XL4Poppy"/>
      <sheetName val="th_mo"/>
      <sheetName val="VL"/>
      <sheetName val="N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ng tong hop khoi luong"/>
      <sheetName val="xxxxxxxxxxx 0,4 kV"/>
      <sheetName val="Bang chiet tinh TBA"/>
      <sheetName val="VL-NC-MTC tram bien ap"/>
      <sheetName val="DZ22"/>
      <sheetName val="Chiet tinh DZ 22"/>
      <sheetName val="Thy nghiem MBA"/>
      <sheetName val="VL-NC-MTC DZ 0,4 kV"/>
      <sheetName val="Chiet tinh §Z 0,4 kV"/>
      <sheetName val="cto"/>
      <sheetName val="Tong hop chi tiet "/>
      <sheetName val="TH"/>
      <sheetName val="Sheet2"/>
      <sheetName val="bia"/>
      <sheetName val="Dien chau"/>
      <sheetName val="Sheet1"/>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
  <sheetViews>
    <sheetView zoomScaleSheetLayoutView="4" workbookViewId="0"/>
  </sheetViews>
  <sheetFormatPr defaultRowHeight="15"/>
  <sheetData/>
  <phoneticPr fontId="1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AB267"/>
  <sheetViews>
    <sheetView view="pageBreakPreview" topLeftCell="A163" zoomScale="115" zoomScaleNormal="160" zoomScaleSheetLayoutView="115" workbookViewId="0">
      <selection activeCell="E25" sqref="E25"/>
    </sheetView>
  </sheetViews>
  <sheetFormatPr defaultColWidth="9" defaultRowHeight="12.75"/>
  <cols>
    <col min="1" max="1" width="4.5" style="756" customWidth="1"/>
    <col min="2" max="2" width="40" style="756" customWidth="1"/>
    <col min="3" max="3" width="1.5" style="756" hidden="1" customWidth="1"/>
    <col min="4" max="4" width="2.125" style="853" hidden="1" customWidth="1"/>
    <col min="5" max="6" width="8.625" style="853" customWidth="1"/>
    <col min="7" max="7" width="8.625" style="854" customWidth="1"/>
    <col min="8" max="8" width="8.75" style="853" customWidth="1"/>
    <col min="9" max="9" width="25.125" style="853" hidden="1" customWidth="1"/>
    <col min="10" max="10" width="8.75" style="853" hidden="1" customWidth="1"/>
    <col min="11" max="12" width="8.375" style="853" hidden="1" customWidth="1"/>
    <col min="13" max="13" width="9.25" style="853" hidden="1" customWidth="1"/>
    <col min="14" max="14" width="8.625" style="853" hidden="1" customWidth="1"/>
    <col min="15" max="15" width="9" style="853" hidden="1" customWidth="1"/>
    <col min="16" max="16" width="8.25" style="853" hidden="1" customWidth="1"/>
    <col min="17" max="17" width="9.5" style="853" hidden="1" customWidth="1"/>
    <col min="18" max="18" width="9.625" style="853" hidden="1" customWidth="1"/>
    <col min="19" max="20" width="9.375" style="853" hidden="1" customWidth="1"/>
    <col min="21" max="21" width="13.625" style="853" customWidth="1"/>
    <col min="22" max="22" width="28.875" style="756" customWidth="1"/>
    <col min="23" max="23" width="9" style="756"/>
    <col min="24" max="24" width="11.5" style="756" customWidth="1"/>
    <col min="25" max="25" width="14.875" style="756" customWidth="1"/>
    <col min="26" max="26" width="12.5" style="756" customWidth="1"/>
    <col min="27" max="16384" width="9" style="756"/>
  </cols>
  <sheetData>
    <row r="1" spans="1:28" ht="42.75" customHeight="1">
      <c r="A1" s="1467" t="s">
        <v>775</v>
      </c>
      <c r="B1" s="1467"/>
      <c r="C1" s="1467"/>
      <c r="D1" s="1467"/>
      <c r="E1" s="1467"/>
      <c r="F1" s="1467"/>
      <c r="G1" s="1467"/>
      <c r="H1" s="1467"/>
      <c r="I1" s="1467"/>
      <c r="J1" s="1467"/>
      <c r="K1" s="1467"/>
      <c r="L1" s="1467"/>
      <c r="M1" s="1467"/>
      <c r="N1" s="1467"/>
      <c r="O1" s="1467"/>
      <c r="P1" s="1467"/>
      <c r="Q1" s="1467"/>
      <c r="R1" s="1467"/>
      <c r="S1" s="1467"/>
      <c r="T1" s="1467"/>
      <c r="U1" s="1467"/>
    </row>
    <row r="2" spans="1:28">
      <c r="A2" s="1468" t="s">
        <v>90</v>
      </c>
      <c r="B2" s="1468"/>
      <c r="C2" s="1468"/>
      <c r="D2" s="1468"/>
      <c r="E2" s="1468"/>
      <c r="F2" s="1468"/>
      <c r="G2" s="1468"/>
      <c r="H2" s="1468"/>
      <c r="I2" s="1468"/>
      <c r="J2" s="1468"/>
      <c r="K2" s="1468"/>
      <c r="L2" s="1468"/>
      <c r="M2" s="1468"/>
      <c r="N2" s="1468"/>
      <c r="O2" s="1468"/>
      <c r="P2" s="1468"/>
      <c r="Q2" s="1468"/>
      <c r="R2" s="1468"/>
      <c r="S2" s="1468"/>
      <c r="T2" s="1468"/>
      <c r="U2" s="1468"/>
    </row>
    <row r="3" spans="1:28" s="759" customFormat="1" ht="25.5" customHeight="1">
      <c r="A3" s="1469" t="s">
        <v>130</v>
      </c>
      <c r="B3" s="1469" t="s">
        <v>62</v>
      </c>
      <c r="C3" s="1469" t="s">
        <v>776</v>
      </c>
      <c r="D3" s="1469"/>
      <c r="E3" s="1469" t="s">
        <v>777</v>
      </c>
      <c r="F3" s="758"/>
      <c r="G3" s="1470" t="s">
        <v>147</v>
      </c>
      <c r="H3" s="1469" t="s">
        <v>778</v>
      </c>
      <c r="I3" s="1469" t="s">
        <v>131</v>
      </c>
      <c r="J3" s="1469" t="s">
        <v>779</v>
      </c>
      <c r="K3" s="1469" t="s">
        <v>780</v>
      </c>
      <c r="L3" s="1469" t="s">
        <v>781</v>
      </c>
      <c r="M3" s="1469" t="s">
        <v>782</v>
      </c>
      <c r="N3" s="1469" t="s">
        <v>783</v>
      </c>
      <c r="O3" s="1469" t="s">
        <v>784</v>
      </c>
      <c r="P3" s="1469" t="s">
        <v>785</v>
      </c>
      <c r="Q3" s="1469" t="s">
        <v>786</v>
      </c>
      <c r="R3" s="1469"/>
      <c r="S3" s="1469"/>
      <c r="T3" s="1469" t="s">
        <v>787</v>
      </c>
      <c r="U3" s="1469" t="s">
        <v>788</v>
      </c>
      <c r="W3" s="760"/>
      <c r="X3" s="760"/>
      <c r="Y3" s="760"/>
      <c r="Z3" s="760"/>
      <c r="AA3" s="760"/>
      <c r="AB3" s="760"/>
    </row>
    <row r="4" spans="1:28" s="759" customFormat="1" ht="11.25" customHeight="1">
      <c r="A4" s="1469"/>
      <c r="B4" s="1469"/>
      <c r="C4" s="1469"/>
      <c r="D4" s="1469"/>
      <c r="E4" s="1469"/>
      <c r="F4" s="761"/>
      <c r="G4" s="1471"/>
      <c r="H4" s="1469"/>
      <c r="I4" s="1469"/>
      <c r="J4" s="1469"/>
      <c r="K4" s="1469"/>
      <c r="L4" s="1469"/>
      <c r="M4" s="1469"/>
      <c r="N4" s="1469"/>
      <c r="O4" s="1469"/>
      <c r="P4" s="1469"/>
      <c r="Q4" s="1469" t="s">
        <v>789</v>
      </c>
      <c r="R4" s="1469" t="s">
        <v>790</v>
      </c>
      <c r="S4" s="1469" t="s">
        <v>791</v>
      </c>
      <c r="T4" s="1469"/>
      <c r="U4" s="1469"/>
      <c r="W4" s="760"/>
      <c r="X4" s="762"/>
      <c r="Y4" s="762"/>
      <c r="Z4" s="763"/>
      <c r="AA4" s="760"/>
      <c r="AB4" s="760"/>
    </row>
    <row r="5" spans="1:28" s="759" customFormat="1" ht="0.75" hidden="1" customHeight="1">
      <c r="A5" s="1469"/>
      <c r="B5" s="1469"/>
      <c r="C5" s="757" t="s">
        <v>792</v>
      </c>
      <c r="D5" s="757" t="s">
        <v>793</v>
      </c>
      <c r="E5" s="757"/>
      <c r="F5" s="757"/>
      <c r="G5" s="757"/>
      <c r="H5" s="1469"/>
      <c r="I5" s="1469"/>
      <c r="J5" s="1469"/>
      <c r="K5" s="1469"/>
      <c r="L5" s="1469"/>
      <c r="M5" s="1469"/>
      <c r="N5" s="1469"/>
      <c r="O5" s="1469"/>
      <c r="P5" s="1469"/>
      <c r="Q5" s="1469"/>
      <c r="R5" s="1469"/>
      <c r="S5" s="1469"/>
      <c r="T5" s="1469"/>
      <c r="U5" s="1469"/>
      <c r="W5" s="760"/>
      <c r="X5" s="762"/>
      <c r="Y5" s="762"/>
      <c r="Z5" s="763"/>
      <c r="AA5" s="760"/>
      <c r="AB5" s="760"/>
    </row>
    <row r="6" spans="1:28" s="765" customFormat="1" ht="11.25" customHeight="1">
      <c r="A6" s="764">
        <v>1</v>
      </c>
      <c r="B6" s="764">
        <v>2</v>
      </c>
      <c r="C6" s="764"/>
      <c r="D6" s="764"/>
      <c r="E6" s="764">
        <v>3</v>
      </c>
      <c r="F6" s="764"/>
      <c r="G6" s="764"/>
      <c r="H6" s="764">
        <v>4</v>
      </c>
      <c r="I6" s="764"/>
      <c r="J6" s="764"/>
      <c r="K6" s="764"/>
      <c r="L6" s="764"/>
      <c r="M6" s="764"/>
      <c r="N6" s="764"/>
      <c r="O6" s="764"/>
      <c r="P6" s="764"/>
      <c r="Q6" s="764"/>
      <c r="R6" s="764"/>
      <c r="S6" s="764"/>
      <c r="T6" s="764"/>
      <c r="U6" s="764"/>
      <c r="W6" s="766"/>
      <c r="X6" s="767"/>
      <c r="Y6" s="767"/>
      <c r="Z6" s="768"/>
      <c r="AA6" s="766"/>
      <c r="AB6" s="766"/>
    </row>
    <row r="7" spans="1:28" s="759" customFormat="1" ht="24" customHeight="1">
      <c r="A7" s="757"/>
      <c r="B7" s="757" t="s">
        <v>794</v>
      </c>
      <c r="C7" s="769"/>
      <c r="D7" s="770">
        <v>154480</v>
      </c>
      <c r="E7" s="771"/>
      <c r="F7" s="771"/>
      <c r="G7" s="771"/>
      <c r="H7" s="772">
        <f>H12+H31+H41+H61+H63+H65+H77+H79+H81</f>
        <v>79633</v>
      </c>
      <c r="I7" s="770"/>
      <c r="J7" s="770">
        <v>139455</v>
      </c>
      <c r="K7" s="770">
        <v>61590</v>
      </c>
      <c r="L7" s="770">
        <v>16200</v>
      </c>
      <c r="M7" s="770">
        <v>8145.3</v>
      </c>
      <c r="N7" s="770">
        <v>35442.5</v>
      </c>
      <c r="O7" s="770">
        <v>18923.5</v>
      </c>
      <c r="P7" s="770">
        <v>21689.972183588299</v>
      </c>
      <c r="Q7" s="770">
        <v>3102</v>
      </c>
      <c r="R7" s="770">
        <v>36394.027816411683</v>
      </c>
      <c r="S7" s="770">
        <v>16519</v>
      </c>
      <c r="T7" s="770">
        <v>24733.7</v>
      </c>
      <c r="U7" s="770">
        <v>0</v>
      </c>
      <c r="V7" s="773"/>
      <c r="W7" s="760"/>
      <c r="X7" s="762"/>
      <c r="Y7" s="762"/>
      <c r="Z7" s="763"/>
      <c r="AA7" s="760"/>
      <c r="AB7" s="760"/>
    </row>
    <row r="8" spans="1:28" s="759" customFormat="1" ht="22.5" hidden="1" customHeight="1">
      <c r="A8" s="774" t="s">
        <v>133</v>
      </c>
      <c r="B8" s="775" t="s">
        <v>795</v>
      </c>
      <c r="C8" s="776"/>
      <c r="D8" s="777">
        <v>15448</v>
      </c>
      <c r="E8" s="777"/>
      <c r="F8" s="777"/>
      <c r="G8" s="771"/>
      <c r="H8" s="778"/>
      <c r="I8" s="777"/>
      <c r="J8" s="777"/>
      <c r="K8" s="777"/>
      <c r="L8" s="777"/>
      <c r="M8" s="777"/>
      <c r="N8" s="777"/>
      <c r="O8" s="777"/>
      <c r="P8" s="777"/>
      <c r="Q8" s="777"/>
      <c r="R8" s="777"/>
      <c r="S8" s="777"/>
      <c r="T8" s="777"/>
      <c r="U8" s="777"/>
      <c r="W8" s="760"/>
      <c r="X8" s="762"/>
      <c r="Y8" s="762"/>
      <c r="Z8" s="763"/>
      <c r="AA8" s="760"/>
      <c r="AB8" s="760"/>
    </row>
    <row r="9" spans="1:28" s="759" customFormat="1" ht="22.5" hidden="1" customHeight="1">
      <c r="A9" s="774" t="s">
        <v>140</v>
      </c>
      <c r="B9" s="775" t="s">
        <v>796</v>
      </c>
      <c r="C9" s="779">
        <v>129</v>
      </c>
      <c r="D9" s="777">
        <v>139032</v>
      </c>
      <c r="E9" s="777"/>
      <c r="F9" s="777"/>
      <c r="G9" s="771"/>
      <c r="H9" s="778"/>
      <c r="I9" s="777"/>
      <c r="J9" s="777"/>
      <c r="K9" s="777"/>
      <c r="L9" s="777"/>
      <c r="M9" s="777"/>
      <c r="N9" s="777"/>
      <c r="O9" s="777"/>
      <c r="P9" s="777"/>
      <c r="Q9" s="777"/>
      <c r="R9" s="777"/>
      <c r="S9" s="777"/>
      <c r="T9" s="777"/>
      <c r="U9" s="777"/>
      <c r="W9" s="760"/>
      <c r="X9" s="762"/>
      <c r="Y9" s="762"/>
      <c r="Z9" s="763"/>
      <c r="AA9" s="760"/>
      <c r="AB9" s="760"/>
    </row>
    <row r="10" spans="1:28" s="784" customFormat="1" ht="22.5" hidden="1" customHeight="1">
      <c r="A10" s="1472" t="s">
        <v>797</v>
      </c>
      <c r="B10" s="1472"/>
      <c r="C10" s="781"/>
      <c r="D10" s="782"/>
      <c r="E10" s="782"/>
      <c r="F10" s="782"/>
      <c r="G10" s="771"/>
      <c r="H10" s="783"/>
      <c r="I10" s="782"/>
      <c r="J10" s="782"/>
      <c r="K10" s="782"/>
      <c r="L10" s="782"/>
      <c r="M10" s="782"/>
      <c r="N10" s="782"/>
      <c r="O10" s="782"/>
      <c r="P10" s="782"/>
      <c r="Q10" s="782"/>
      <c r="R10" s="782"/>
      <c r="S10" s="782"/>
      <c r="T10" s="782"/>
      <c r="U10" s="782"/>
      <c r="W10" s="760"/>
      <c r="X10" s="762"/>
      <c r="Y10" s="762"/>
      <c r="Z10" s="763"/>
      <c r="AA10" s="760"/>
      <c r="AB10" s="760"/>
    </row>
    <row r="11" spans="1:28" s="790" customFormat="1" ht="22.5" hidden="1" customHeight="1">
      <c r="A11" s="785" t="s">
        <v>66</v>
      </c>
      <c r="B11" s="786" t="s">
        <v>798</v>
      </c>
      <c r="C11" s="787">
        <v>3</v>
      </c>
      <c r="D11" s="788">
        <v>3233.3023255813955</v>
      </c>
      <c r="E11" s="788"/>
      <c r="F11" s="788"/>
      <c r="G11" s="771"/>
      <c r="H11" s="789"/>
      <c r="I11" s="788"/>
      <c r="J11" s="788"/>
      <c r="K11" s="788"/>
      <c r="L11" s="788"/>
      <c r="M11" s="788"/>
      <c r="N11" s="788"/>
      <c r="O11" s="788"/>
      <c r="P11" s="788"/>
      <c r="Q11" s="788"/>
      <c r="R11" s="788"/>
      <c r="S11" s="788"/>
      <c r="T11" s="788"/>
      <c r="U11" s="788"/>
      <c r="W11" s="760"/>
      <c r="X11" s="762"/>
      <c r="Y11" s="762"/>
      <c r="Z11" s="763"/>
      <c r="AA11" s="760"/>
      <c r="AB11" s="760"/>
    </row>
    <row r="12" spans="1:28" s="784" customFormat="1" ht="22.5" customHeight="1">
      <c r="A12" s="791" t="s">
        <v>66</v>
      </c>
      <c r="B12" s="792" t="s">
        <v>29</v>
      </c>
      <c r="C12" s="781"/>
      <c r="D12" s="793"/>
      <c r="E12" s="793"/>
      <c r="F12" s="793"/>
      <c r="G12" s="794" t="s">
        <v>868</v>
      </c>
      <c r="H12" s="783">
        <f>SUM(H13:H30)</f>
        <v>26393.599999999999</v>
      </c>
      <c r="I12" s="793"/>
      <c r="J12" s="793"/>
      <c r="K12" s="793"/>
      <c r="L12" s="793"/>
      <c r="M12" s="793"/>
      <c r="N12" s="793"/>
      <c r="O12" s="793"/>
      <c r="P12" s="793"/>
      <c r="Q12" s="793"/>
      <c r="R12" s="793"/>
      <c r="S12" s="793"/>
      <c r="T12" s="793"/>
      <c r="U12" s="793" t="s">
        <v>91</v>
      </c>
      <c r="V12" s="795"/>
      <c r="W12" s="796"/>
      <c r="X12" s="797"/>
      <c r="Y12" s="797"/>
      <c r="Z12" s="798"/>
      <c r="AA12" s="796"/>
      <c r="AB12" s="796"/>
    </row>
    <row r="13" spans="1:28" s="817" customFormat="1" ht="30" customHeight="1">
      <c r="A13" s="818" t="s">
        <v>70</v>
      </c>
      <c r="B13" s="827" t="s">
        <v>799</v>
      </c>
      <c r="C13" s="820">
        <v>1078</v>
      </c>
      <c r="D13" s="822" t="s">
        <v>800</v>
      </c>
      <c r="E13" s="822" t="s">
        <v>801</v>
      </c>
      <c r="F13" s="822"/>
      <c r="G13" s="823">
        <f>U13-H13</f>
        <v>1617</v>
      </c>
      <c r="H13" s="824">
        <v>1078</v>
      </c>
      <c r="I13" s="822"/>
      <c r="J13" s="822"/>
      <c r="K13" s="822"/>
      <c r="L13" s="822"/>
      <c r="M13" s="822"/>
      <c r="N13" s="822"/>
      <c r="O13" s="822"/>
      <c r="P13" s="822"/>
      <c r="Q13" s="822"/>
      <c r="R13" s="822"/>
      <c r="S13" s="822"/>
      <c r="T13" s="822"/>
      <c r="U13" s="822">
        <f>H13/0.4</f>
        <v>2695</v>
      </c>
      <c r="V13" s="868"/>
      <c r="W13" s="866"/>
      <c r="X13" s="866"/>
      <c r="Y13" s="866"/>
      <c r="Z13" s="867"/>
      <c r="AA13" s="866"/>
      <c r="AB13" s="866"/>
    </row>
    <row r="14" spans="1:28" s="817" customFormat="1" ht="27" customHeight="1">
      <c r="A14" s="818" t="s">
        <v>70</v>
      </c>
      <c r="B14" s="827" t="s">
        <v>802</v>
      </c>
      <c r="C14" s="820">
        <v>1078</v>
      </c>
      <c r="D14" s="822"/>
      <c r="E14" s="822" t="s">
        <v>801</v>
      </c>
      <c r="F14" s="822"/>
      <c r="G14" s="823">
        <f t="shared" ref="G14:G30" si="0">U14-H14</f>
        <v>1617</v>
      </c>
      <c r="H14" s="824">
        <v>1078</v>
      </c>
      <c r="I14" s="822"/>
      <c r="J14" s="822"/>
      <c r="K14" s="822"/>
      <c r="L14" s="822"/>
      <c r="M14" s="822"/>
      <c r="N14" s="822"/>
      <c r="O14" s="822"/>
      <c r="P14" s="822"/>
      <c r="Q14" s="822"/>
      <c r="R14" s="822"/>
      <c r="S14" s="822"/>
      <c r="T14" s="822"/>
      <c r="U14" s="822">
        <f t="shared" ref="U14:U30" si="1">H14/0.4</f>
        <v>2695</v>
      </c>
      <c r="W14" s="866"/>
      <c r="X14" s="866"/>
      <c r="Y14" s="866"/>
      <c r="Z14" s="867"/>
      <c r="AA14" s="866"/>
      <c r="AB14" s="866"/>
    </row>
    <row r="15" spans="1:28" s="817" customFormat="1" ht="26.25" customHeight="1">
      <c r="A15" s="874" t="s">
        <v>70</v>
      </c>
      <c r="B15" s="827" t="s">
        <v>479</v>
      </c>
      <c r="C15" s="820"/>
      <c r="D15" s="822"/>
      <c r="E15" s="822" t="s">
        <v>801</v>
      </c>
      <c r="F15" s="822">
        <f>U15/1500</f>
        <v>7.5054999999999996</v>
      </c>
      <c r="G15" s="823">
        <f t="shared" si="0"/>
        <v>6754.95</v>
      </c>
      <c r="H15" s="824">
        <f>'[68]Von TW nam 2023'!$C$16</f>
        <v>4503.3</v>
      </c>
      <c r="I15" s="822"/>
      <c r="J15" s="822"/>
      <c r="K15" s="822"/>
      <c r="L15" s="822"/>
      <c r="M15" s="822"/>
      <c r="N15" s="822"/>
      <c r="O15" s="822"/>
      <c r="P15" s="822"/>
      <c r="Q15" s="822"/>
      <c r="R15" s="822"/>
      <c r="S15" s="822"/>
      <c r="T15" s="822"/>
      <c r="U15" s="822">
        <f t="shared" si="1"/>
        <v>11258.25</v>
      </c>
      <c r="V15" s="868"/>
      <c r="X15" s="872"/>
      <c r="Y15" s="877"/>
    </row>
    <row r="16" spans="1:28" s="817" customFormat="1" ht="18.75" customHeight="1">
      <c r="A16" s="818" t="s">
        <v>70</v>
      </c>
      <c r="B16" s="827" t="str">
        <f>'[69]KH 2021-2022'!$B$17</f>
        <v>Xây dựng cầu tràn liên hợp thôn 7, xã Thái Bình</v>
      </c>
      <c r="C16" s="820"/>
      <c r="D16" s="822"/>
      <c r="E16" s="822" t="s">
        <v>801</v>
      </c>
      <c r="F16" s="822"/>
      <c r="G16" s="823"/>
      <c r="H16" s="824">
        <f>'[69]Sheet1 (2)'!$F$24</f>
        <v>700</v>
      </c>
      <c r="I16" s="822"/>
      <c r="J16" s="822"/>
      <c r="K16" s="822"/>
      <c r="L16" s="822"/>
      <c r="M16" s="822"/>
      <c r="N16" s="822"/>
      <c r="O16" s="822"/>
      <c r="P16" s="822"/>
      <c r="Q16" s="822"/>
      <c r="R16" s="822"/>
      <c r="S16" s="822"/>
      <c r="T16" s="822"/>
      <c r="U16" s="822"/>
    </row>
    <row r="17" spans="1:28" s="817" customFormat="1" ht="33" customHeight="1">
      <c r="A17" s="818" t="s">
        <v>70</v>
      </c>
      <c r="B17" s="827" t="str">
        <f>'[69]KH 2021-2022'!$B$10</f>
        <v>Xây dựng đường trục xã đoạn từ thôn Vàng Lè sang thôn Đán Khao, xã Chiêu Yên</v>
      </c>
      <c r="C17" s="820"/>
      <c r="D17" s="822"/>
      <c r="E17" s="822" t="s">
        <v>801</v>
      </c>
      <c r="F17" s="822">
        <f>U17/1500</f>
        <v>2.5</v>
      </c>
      <c r="G17" s="823">
        <f t="shared" si="0"/>
        <v>2250</v>
      </c>
      <c r="H17" s="824">
        <f>'[69]Sheet1 (2)'!$F$35</f>
        <v>1500</v>
      </c>
      <c r="I17" s="878"/>
      <c r="J17" s="822"/>
      <c r="K17" s="822"/>
      <c r="L17" s="822"/>
      <c r="M17" s="822"/>
      <c r="N17" s="822"/>
      <c r="O17" s="822"/>
      <c r="P17" s="822"/>
      <c r="Q17" s="822"/>
      <c r="R17" s="822"/>
      <c r="S17" s="822"/>
      <c r="T17" s="822"/>
      <c r="U17" s="822">
        <f t="shared" si="1"/>
        <v>3750</v>
      </c>
      <c r="V17" s="868"/>
    </row>
    <row r="18" spans="1:28" s="817" customFormat="1" ht="29.25" customHeight="1">
      <c r="A18" s="818" t="s">
        <v>70</v>
      </c>
      <c r="B18" s="827" t="str">
        <f>'[69]KH 2021-2022'!$B$11</f>
        <v xml:space="preserve">Xây dựng hóa đường trục xã đoạn từ thôn Cây Chanh, xã Chiêu Yên </v>
      </c>
      <c r="C18" s="820"/>
      <c r="D18" s="822"/>
      <c r="E18" s="822" t="s">
        <v>801</v>
      </c>
      <c r="F18" s="822">
        <f t="shared" ref="F18:F24" si="2">U18/1500</f>
        <v>1.0429999999999999</v>
      </c>
      <c r="G18" s="823">
        <f t="shared" si="0"/>
        <v>938.69999999999982</v>
      </c>
      <c r="H18" s="824">
        <f>'[69]Sheet1 (2)'!$F$36</f>
        <v>625.79999999999995</v>
      </c>
      <c r="I18" s="878"/>
      <c r="J18" s="822"/>
      <c r="K18" s="822"/>
      <c r="L18" s="822"/>
      <c r="M18" s="822"/>
      <c r="N18" s="822"/>
      <c r="O18" s="822"/>
      <c r="P18" s="822"/>
      <c r="Q18" s="822"/>
      <c r="R18" s="822"/>
      <c r="S18" s="822"/>
      <c r="T18" s="822"/>
      <c r="U18" s="822">
        <f t="shared" si="1"/>
        <v>1564.4999999999998</v>
      </c>
      <c r="V18" s="868"/>
    </row>
    <row r="19" spans="1:28" s="817" customFormat="1" ht="20.25" customHeight="1">
      <c r="A19" s="818" t="s">
        <v>70</v>
      </c>
      <c r="B19" s="827" t="str">
        <f>'[69]Sheet1 (2)'!$G$37</f>
        <v>Xât dựng đường trục xã thôn Nam Thắng, xã Chiêu Yên</v>
      </c>
      <c r="C19" s="820"/>
      <c r="D19" s="822"/>
      <c r="E19" s="822" t="s">
        <v>801</v>
      </c>
      <c r="F19" s="822">
        <f t="shared" si="2"/>
        <v>1</v>
      </c>
      <c r="G19" s="823">
        <f t="shared" si="0"/>
        <v>900</v>
      </c>
      <c r="H19" s="824">
        <f>'[69]Sheet1 (2)'!$F$37</f>
        <v>600</v>
      </c>
      <c r="I19" s="878"/>
      <c r="J19" s="822"/>
      <c r="K19" s="822"/>
      <c r="L19" s="822"/>
      <c r="M19" s="822"/>
      <c r="N19" s="822"/>
      <c r="O19" s="822"/>
      <c r="P19" s="822"/>
      <c r="Q19" s="822"/>
      <c r="R19" s="822"/>
      <c r="S19" s="822"/>
      <c r="T19" s="822"/>
      <c r="U19" s="822">
        <f t="shared" si="1"/>
        <v>1500</v>
      </c>
      <c r="V19" s="868"/>
    </row>
    <row r="20" spans="1:28" s="817" customFormat="1" ht="27.75" customHeight="1">
      <c r="A20" s="818" t="s">
        <v>70</v>
      </c>
      <c r="B20" s="827" t="str">
        <f>'[69]Sheet1 (2)'!$G$38</f>
        <v>Xây dựng đường trục xã thôn Đồng Dày đi Vắt Cày, xã Chiêu Yên</v>
      </c>
      <c r="C20" s="820"/>
      <c r="D20" s="822"/>
      <c r="E20" s="822" t="s">
        <v>801</v>
      </c>
      <c r="F20" s="822">
        <f t="shared" si="2"/>
        <v>1.8333333333333333</v>
      </c>
      <c r="G20" s="823">
        <f t="shared" si="0"/>
        <v>1650</v>
      </c>
      <c r="H20" s="824">
        <f>'[69]Sheet1 (2)'!$F$38</f>
        <v>1100</v>
      </c>
      <c r="I20" s="878"/>
      <c r="J20" s="822"/>
      <c r="K20" s="822"/>
      <c r="L20" s="822"/>
      <c r="M20" s="822"/>
      <c r="N20" s="822"/>
      <c r="O20" s="822"/>
      <c r="P20" s="822"/>
      <c r="Q20" s="822"/>
      <c r="R20" s="822"/>
      <c r="S20" s="822"/>
      <c r="T20" s="822"/>
      <c r="U20" s="822">
        <f t="shared" si="1"/>
        <v>2750</v>
      </c>
      <c r="V20" s="868"/>
    </row>
    <row r="21" spans="1:28" s="817" customFormat="1" ht="18.75" customHeight="1">
      <c r="A21" s="818" t="s">
        <v>70</v>
      </c>
      <c r="B21" s="827" t="str">
        <f>'[69]KH 2021-2022'!$B$15</f>
        <v>Xây Tường kè chắn đất thôn Động Sơn, xã Chân Sơn</v>
      </c>
      <c r="C21" s="820"/>
      <c r="D21" s="822"/>
      <c r="E21" s="822" t="s">
        <v>801</v>
      </c>
      <c r="F21" s="822"/>
      <c r="G21" s="823"/>
      <c r="H21" s="824">
        <f>'[69]KH 2021-2022'!$D$15</f>
        <v>300</v>
      </c>
      <c r="I21" s="878"/>
      <c r="J21" s="822"/>
      <c r="K21" s="822"/>
      <c r="L21" s="822"/>
      <c r="M21" s="822"/>
      <c r="N21" s="822"/>
      <c r="O21" s="822"/>
      <c r="P21" s="822"/>
      <c r="Q21" s="822"/>
      <c r="R21" s="822"/>
      <c r="S21" s="822"/>
      <c r="T21" s="822"/>
      <c r="U21" s="822"/>
      <c r="V21" s="868"/>
    </row>
    <row r="22" spans="1:28" s="817" customFormat="1" ht="18.75" customHeight="1">
      <c r="A22" s="818" t="s">
        <v>70</v>
      </c>
      <c r="B22" s="827" t="str">
        <f>'[69]Sheet1 (2)'!$G$42</f>
        <v>Xây dựng đường trục xã thôn Trường Sơn đi xã Trung Môn</v>
      </c>
      <c r="C22" s="820"/>
      <c r="D22" s="822"/>
      <c r="E22" s="822" t="s">
        <v>801</v>
      </c>
      <c r="F22" s="822">
        <f t="shared" si="2"/>
        <v>0.83333333333333337</v>
      </c>
      <c r="G22" s="823">
        <f t="shared" si="0"/>
        <v>750</v>
      </c>
      <c r="H22" s="824">
        <f>'[69]Sheet1 (2)'!$F$42</f>
        <v>500</v>
      </c>
      <c r="I22" s="878"/>
      <c r="J22" s="822"/>
      <c r="K22" s="822"/>
      <c r="L22" s="822"/>
      <c r="M22" s="822"/>
      <c r="N22" s="822"/>
      <c r="O22" s="822"/>
      <c r="P22" s="822"/>
      <c r="Q22" s="822"/>
      <c r="R22" s="822"/>
      <c r="S22" s="822"/>
      <c r="T22" s="822"/>
      <c r="U22" s="822">
        <f t="shared" si="1"/>
        <v>1250</v>
      </c>
      <c r="V22" s="868"/>
    </row>
    <row r="23" spans="1:28" s="817" customFormat="1" ht="19.5" customHeight="1">
      <c r="A23" s="818" t="s">
        <v>70</v>
      </c>
      <c r="B23" s="827" t="str">
        <f>'[69]Sheet1 (2)'!$G$47</f>
        <v>Xây dựng cầu tràn thôn 3, xã Quý Quân</v>
      </c>
      <c r="C23" s="820"/>
      <c r="D23" s="822"/>
      <c r="E23" s="822" t="s">
        <v>801</v>
      </c>
      <c r="F23" s="822"/>
      <c r="G23" s="823"/>
      <c r="H23" s="824">
        <f>'[69]Sheet1 (2)'!$F$47</f>
        <v>1200</v>
      </c>
      <c r="I23" s="878"/>
      <c r="J23" s="822"/>
      <c r="K23" s="822"/>
      <c r="L23" s="822"/>
      <c r="M23" s="822"/>
      <c r="N23" s="822"/>
      <c r="O23" s="822"/>
      <c r="P23" s="822"/>
      <c r="Q23" s="822"/>
      <c r="R23" s="822"/>
      <c r="S23" s="822"/>
      <c r="T23" s="822"/>
      <c r="U23" s="822">
        <f t="shared" si="1"/>
        <v>3000</v>
      </c>
      <c r="V23" s="868"/>
    </row>
    <row r="24" spans="1:28" s="817" customFormat="1" ht="30.75" customHeight="1">
      <c r="A24" s="818"/>
      <c r="B24" s="827" t="str">
        <f>'[69]Sheet1 (2)'!$G$54</f>
        <v>Xây dựng đường trục xã đoạn từ đường DH 09 đi thôn Trại Xoan, xã Nhữ Hán</v>
      </c>
      <c r="C24" s="820"/>
      <c r="D24" s="822"/>
      <c r="E24" s="822" t="s">
        <v>801</v>
      </c>
      <c r="F24" s="822">
        <f t="shared" si="2"/>
        <v>1</v>
      </c>
      <c r="G24" s="823">
        <f t="shared" si="0"/>
        <v>900</v>
      </c>
      <c r="H24" s="824">
        <f>'[69]Sheet1 (2)'!$F$54</f>
        <v>600</v>
      </c>
      <c r="I24" s="878"/>
      <c r="J24" s="822"/>
      <c r="K24" s="822"/>
      <c r="L24" s="822"/>
      <c r="M24" s="822"/>
      <c r="N24" s="822"/>
      <c r="O24" s="822"/>
      <c r="P24" s="822"/>
      <c r="Q24" s="822"/>
      <c r="R24" s="822"/>
      <c r="S24" s="822"/>
      <c r="T24" s="822"/>
      <c r="U24" s="822">
        <f t="shared" si="1"/>
        <v>1500</v>
      </c>
      <c r="V24" s="868"/>
    </row>
    <row r="25" spans="1:28" s="817" customFormat="1" ht="56.25" customHeight="1">
      <c r="A25" s="818" t="s">
        <v>70</v>
      </c>
      <c r="B25" s="1117" t="str">
        <f>'[70]KH 2023'!$B$185</f>
        <v>Xây dựng đường trục xã: Đoạn từ Nhà văn hoá thôn Lẹm đến cổng ông Cầm Lai (2,1 km), đoạn từ nghĩa trang thôn Ba Khe đến đường ĐT 185 (0,6 km) và đoạn từ thôn Trung Tâm đi thôn Khuôn Phầy (0,9 km)</v>
      </c>
      <c r="C25" s="820"/>
      <c r="D25" s="822"/>
      <c r="E25" s="822" t="s">
        <v>801</v>
      </c>
      <c r="F25" s="822">
        <v>3.6</v>
      </c>
      <c r="G25" s="823">
        <f t="shared" si="0"/>
        <v>3592.6666666666679</v>
      </c>
      <c r="H25" s="824">
        <f>'[70]KH 2023'!$C$185/1000</f>
        <v>5389</v>
      </c>
      <c r="I25" s="822"/>
      <c r="J25" s="822"/>
      <c r="K25" s="822"/>
      <c r="L25" s="822"/>
      <c r="M25" s="822"/>
      <c r="N25" s="822"/>
      <c r="O25" s="822"/>
      <c r="P25" s="822"/>
      <c r="Q25" s="822"/>
      <c r="R25" s="822"/>
      <c r="S25" s="822"/>
      <c r="T25" s="822"/>
      <c r="U25" s="822">
        <f>H25/0.6</f>
        <v>8981.6666666666679</v>
      </c>
    </row>
    <row r="26" spans="1:28" s="817" customFormat="1" ht="16.5" customHeight="1">
      <c r="A26" s="818" t="s">
        <v>70</v>
      </c>
      <c r="B26" s="827" t="str">
        <f>'[70]KH 2023'!$B$189</f>
        <v>Xây dựng đường trục thôn</v>
      </c>
      <c r="C26" s="820"/>
      <c r="D26" s="822"/>
      <c r="E26" s="822" t="s">
        <v>801</v>
      </c>
      <c r="F26" s="822">
        <f>U26/660</f>
        <v>3.1515151515151514</v>
      </c>
      <c r="G26" s="823">
        <f t="shared" si="0"/>
        <v>1248</v>
      </c>
      <c r="H26" s="824">
        <f>'[70]KH 2023'!$C$189/1000</f>
        <v>832</v>
      </c>
      <c r="I26" s="822"/>
      <c r="J26" s="822"/>
      <c r="K26" s="822"/>
      <c r="L26" s="822"/>
      <c r="M26" s="822"/>
      <c r="N26" s="822"/>
      <c r="O26" s="822"/>
      <c r="P26" s="822"/>
      <c r="Q26" s="822"/>
      <c r="R26" s="822"/>
      <c r="S26" s="822"/>
      <c r="T26" s="822"/>
      <c r="U26" s="822">
        <f t="shared" si="1"/>
        <v>2080</v>
      </c>
    </row>
    <row r="27" spans="1:28" s="817" customFormat="1" ht="28.5" customHeight="1">
      <c r="A27" s="818" t="s">
        <v>70</v>
      </c>
      <c r="B27" s="827" t="str">
        <f>'[70]KH 2023'!$B$201</f>
        <v>Xây dựng đường trục xã: Đoạn từ ĐT186 đi Ban nghiên cứu không quân và đoạn từ đường ĐH21 đi ĐH 04</v>
      </c>
      <c r="C27" s="820"/>
      <c r="D27" s="822"/>
      <c r="E27" s="822" t="s">
        <v>801</v>
      </c>
      <c r="F27" s="822">
        <v>3</v>
      </c>
      <c r="G27" s="823">
        <f t="shared" si="0"/>
        <v>3191.666666666667</v>
      </c>
      <c r="H27" s="824">
        <v>4787.5</v>
      </c>
      <c r="I27" s="822"/>
      <c r="J27" s="822"/>
      <c r="K27" s="822"/>
      <c r="L27" s="822"/>
      <c r="M27" s="822"/>
      <c r="N27" s="822"/>
      <c r="O27" s="822"/>
      <c r="P27" s="822"/>
      <c r="Q27" s="822"/>
      <c r="R27" s="822"/>
      <c r="S27" s="822"/>
      <c r="T27" s="822"/>
      <c r="U27" s="822">
        <f>H27/0.6</f>
        <v>7979.166666666667</v>
      </c>
    </row>
    <row r="28" spans="1:28" s="817" customFormat="1" ht="26.25" customHeight="1">
      <c r="A28" s="818" t="s">
        <v>70</v>
      </c>
      <c r="B28" s="827" t="str">
        <f>'[70]KH 2023'!$B$207</f>
        <v>Xây dựng đường trục xã đoạn từ đường ĐH04 đến đường xã Tam Đa đi xã Quang Yên</v>
      </c>
      <c r="C28" s="820"/>
      <c r="D28" s="822"/>
      <c r="E28" s="822" t="s">
        <v>801</v>
      </c>
      <c r="F28" s="822">
        <f>U28/1500</f>
        <v>0.55555555555555558</v>
      </c>
      <c r="G28" s="823">
        <f t="shared" si="0"/>
        <v>333.33333333333337</v>
      </c>
      <c r="H28" s="824">
        <f>'[70]KH 2023'!$C$207/1000</f>
        <v>500</v>
      </c>
      <c r="I28" s="822"/>
      <c r="J28" s="822"/>
      <c r="K28" s="822"/>
      <c r="L28" s="822"/>
      <c r="M28" s="822"/>
      <c r="N28" s="822"/>
      <c r="O28" s="822"/>
      <c r="P28" s="822"/>
      <c r="Q28" s="822"/>
      <c r="R28" s="822"/>
      <c r="S28" s="822"/>
      <c r="T28" s="822"/>
      <c r="U28" s="822">
        <f>H28/0.6</f>
        <v>833.33333333333337</v>
      </c>
    </row>
    <row r="29" spans="1:28" s="817" customFormat="1" ht="38.25">
      <c r="A29" s="818" t="s">
        <v>70</v>
      </c>
      <c r="B29" s="827" t="s">
        <v>803</v>
      </c>
      <c r="C29" s="820"/>
      <c r="D29" s="822"/>
      <c r="E29" s="822" t="s">
        <v>801</v>
      </c>
      <c r="F29" s="822">
        <f>U29/660</f>
        <v>2.2727272727272729</v>
      </c>
      <c r="G29" s="823">
        <f t="shared" si="0"/>
        <v>900</v>
      </c>
      <c r="H29" s="824">
        <f>'[70]KH 2023'!$C$208/1000</f>
        <v>600</v>
      </c>
      <c r="I29" s="822"/>
      <c r="J29" s="822"/>
      <c r="K29" s="822"/>
      <c r="L29" s="822"/>
      <c r="M29" s="822"/>
      <c r="N29" s="822"/>
      <c r="O29" s="822"/>
      <c r="P29" s="822"/>
      <c r="Q29" s="822"/>
      <c r="R29" s="822"/>
      <c r="S29" s="822"/>
      <c r="T29" s="822"/>
      <c r="U29" s="822">
        <f t="shared" si="1"/>
        <v>1500</v>
      </c>
    </row>
    <row r="30" spans="1:28" s="817" customFormat="1" ht="38.25">
      <c r="A30" s="818" t="s">
        <v>70</v>
      </c>
      <c r="B30" s="827" t="s">
        <v>804</v>
      </c>
      <c r="C30" s="820"/>
      <c r="D30" s="822"/>
      <c r="E30" s="822" t="s">
        <v>801</v>
      </c>
      <c r="F30" s="822">
        <f>U30/660</f>
        <v>1.893939393939394</v>
      </c>
      <c r="G30" s="823">
        <f t="shared" si="0"/>
        <v>750</v>
      </c>
      <c r="H30" s="824">
        <f>'[70]KH 2023'!$C$209/1000</f>
        <v>500</v>
      </c>
      <c r="I30" s="822"/>
      <c r="J30" s="822"/>
      <c r="K30" s="822"/>
      <c r="L30" s="822"/>
      <c r="M30" s="822"/>
      <c r="N30" s="822"/>
      <c r="O30" s="822"/>
      <c r="P30" s="822"/>
      <c r="Q30" s="822"/>
      <c r="R30" s="822"/>
      <c r="S30" s="822"/>
      <c r="T30" s="822"/>
      <c r="U30" s="822">
        <f t="shared" si="1"/>
        <v>1250</v>
      </c>
    </row>
    <row r="31" spans="1:28" s="784" customFormat="1" ht="22.5" customHeight="1">
      <c r="A31" s="791" t="s">
        <v>67</v>
      </c>
      <c r="B31" s="812" t="s">
        <v>805</v>
      </c>
      <c r="C31" s="781"/>
      <c r="D31" s="793"/>
      <c r="E31" s="793"/>
      <c r="F31" s="793"/>
      <c r="G31" s="813"/>
      <c r="H31" s="783">
        <f>SUM(H32:U40)</f>
        <v>7601.4</v>
      </c>
      <c r="I31" s="793"/>
      <c r="J31" s="793"/>
      <c r="K31" s="793"/>
      <c r="L31" s="793"/>
      <c r="M31" s="793"/>
      <c r="N31" s="793"/>
      <c r="O31" s="793"/>
      <c r="P31" s="793"/>
      <c r="Q31" s="793"/>
      <c r="R31" s="793"/>
      <c r="S31" s="793"/>
      <c r="T31" s="793"/>
      <c r="U31" s="793"/>
      <c r="W31" s="796"/>
      <c r="X31" s="797"/>
      <c r="Y31" s="797"/>
      <c r="Z31" s="798"/>
      <c r="AA31" s="796"/>
      <c r="AB31" s="796"/>
    </row>
    <row r="32" spans="1:28" s="790" customFormat="1" ht="26.25" customHeight="1">
      <c r="A32" s="785" t="s">
        <v>70</v>
      </c>
      <c r="B32" s="799" t="str">
        <f>'[69]KH 2023'!$B$14</f>
        <v>Xây dựng cầu máng thủy lợi Tống Đâu, thôn Bản Phú, xã Thổ Bình</v>
      </c>
      <c r="C32" s="787"/>
      <c r="D32" s="788"/>
      <c r="E32" s="788" t="s">
        <v>801</v>
      </c>
      <c r="F32" s="788"/>
      <c r="G32" s="800"/>
      <c r="H32" s="789">
        <f>'[71]KH 2023'!$C$14</f>
        <v>659</v>
      </c>
      <c r="I32" s="788"/>
      <c r="J32" s="788"/>
      <c r="K32" s="788"/>
      <c r="L32" s="788"/>
      <c r="M32" s="788"/>
      <c r="N32" s="788"/>
      <c r="O32" s="788"/>
      <c r="P32" s="788"/>
      <c r="Q32" s="788"/>
      <c r="R32" s="788"/>
      <c r="S32" s="788"/>
      <c r="T32" s="788"/>
      <c r="U32" s="788" t="s">
        <v>806</v>
      </c>
      <c r="V32" s="801"/>
      <c r="W32" s="760"/>
      <c r="X32" s="760"/>
      <c r="Y32" s="760"/>
      <c r="Z32" s="763"/>
      <c r="AA32" s="760"/>
      <c r="AB32" s="760"/>
    </row>
    <row r="33" spans="1:28" s="790" customFormat="1" ht="27.75" customHeight="1">
      <c r="A33" s="785"/>
      <c r="B33" s="799" t="s">
        <v>423</v>
      </c>
      <c r="C33" s="787"/>
      <c r="D33" s="788"/>
      <c r="E33" s="788" t="s">
        <v>801</v>
      </c>
      <c r="F33" s="788"/>
      <c r="G33" s="800"/>
      <c r="H33" s="789">
        <v>1541.3</v>
      </c>
      <c r="I33" s="788"/>
      <c r="J33" s="788"/>
      <c r="K33" s="788"/>
      <c r="L33" s="788"/>
      <c r="M33" s="788"/>
      <c r="N33" s="788"/>
      <c r="O33" s="788"/>
      <c r="P33" s="788"/>
      <c r="Q33" s="788"/>
      <c r="R33" s="788"/>
      <c r="S33" s="788"/>
      <c r="T33" s="788"/>
      <c r="U33" s="788" t="s">
        <v>806</v>
      </c>
      <c r="W33" s="803"/>
      <c r="X33" s="803"/>
      <c r="Y33" s="803"/>
      <c r="Z33" s="814"/>
      <c r="AA33" s="803"/>
      <c r="AB33" s="803"/>
    </row>
    <row r="34" spans="1:28" s="790" customFormat="1" ht="25.5" customHeight="1">
      <c r="A34" s="785"/>
      <c r="B34" s="799" t="s">
        <v>807</v>
      </c>
      <c r="C34" s="787"/>
      <c r="D34" s="788"/>
      <c r="E34" s="788" t="s">
        <v>801</v>
      </c>
      <c r="F34" s="788"/>
      <c r="G34" s="800"/>
      <c r="H34" s="789">
        <v>846</v>
      </c>
      <c r="I34" s="788"/>
      <c r="J34" s="788"/>
      <c r="K34" s="788"/>
      <c r="L34" s="788"/>
      <c r="M34" s="788"/>
      <c r="N34" s="788"/>
      <c r="O34" s="788"/>
      <c r="P34" s="788"/>
      <c r="Q34" s="788"/>
      <c r="R34" s="788"/>
      <c r="S34" s="788"/>
      <c r="T34" s="788"/>
      <c r="U34" s="788" t="s">
        <v>806</v>
      </c>
      <c r="W34" s="803"/>
      <c r="X34" s="803"/>
      <c r="Y34" s="803"/>
      <c r="Z34" s="814"/>
      <c r="AA34" s="803"/>
      <c r="AB34" s="803"/>
    </row>
    <row r="35" spans="1:28" s="790" customFormat="1" ht="15" customHeight="1">
      <c r="A35" s="785" t="s">
        <v>70</v>
      </c>
      <c r="B35" s="799" t="s">
        <v>808</v>
      </c>
      <c r="C35" s="787">
        <v>1077.0999999999999</v>
      </c>
      <c r="D35" s="788"/>
      <c r="E35" s="788" t="s">
        <v>801</v>
      </c>
      <c r="F35" s="788"/>
      <c r="G35" s="800"/>
      <c r="H35" s="789">
        <v>1077.0999999999999</v>
      </c>
      <c r="I35" s="788"/>
      <c r="J35" s="788"/>
      <c r="K35" s="788"/>
      <c r="L35" s="788"/>
      <c r="M35" s="788"/>
      <c r="N35" s="788"/>
      <c r="O35" s="788"/>
      <c r="P35" s="788"/>
      <c r="Q35" s="788"/>
      <c r="R35" s="788"/>
      <c r="S35" s="788"/>
      <c r="T35" s="788"/>
      <c r="U35" s="788"/>
      <c r="W35" s="760"/>
      <c r="X35" s="760"/>
      <c r="Y35" s="760"/>
      <c r="Z35" s="763"/>
      <c r="AA35" s="760"/>
      <c r="AB35" s="760"/>
    </row>
    <row r="36" spans="1:28" s="790" customFormat="1" ht="25.5" customHeight="1">
      <c r="A36" s="785" t="s">
        <v>70</v>
      </c>
      <c r="B36" s="799" t="s">
        <v>809</v>
      </c>
      <c r="C36" s="787">
        <v>1078</v>
      </c>
      <c r="D36" s="788"/>
      <c r="E36" s="788" t="s">
        <v>801</v>
      </c>
      <c r="F36" s="788"/>
      <c r="G36" s="800"/>
      <c r="H36" s="789">
        <v>1078</v>
      </c>
      <c r="I36" s="788"/>
      <c r="J36" s="788"/>
      <c r="K36" s="788"/>
      <c r="L36" s="788"/>
      <c r="M36" s="788"/>
      <c r="N36" s="788"/>
      <c r="O36" s="788"/>
      <c r="P36" s="788"/>
      <c r="Q36" s="788"/>
      <c r="R36" s="788"/>
      <c r="S36" s="788"/>
      <c r="T36" s="788"/>
      <c r="U36" s="788" t="s">
        <v>810</v>
      </c>
      <c r="W36" s="760"/>
      <c r="X36" s="760"/>
      <c r="Y36" s="760"/>
      <c r="Z36" s="763"/>
      <c r="AA36" s="760"/>
      <c r="AB36" s="760"/>
    </row>
    <row r="37" spans="1:28" s="790" customFormat="1" ht="16.5" customHeight="1">
      <c r="A37" s="802" t="s">
        <v>70</v>
      </c>
      <c r="B37" s="799" t="str">
        <f>'[72]Von TW nam 2023'!$B$8</f>
        <v>Xây dựng công trình Đập thủy lợi Nà Mu xã Nhân Lý</v>
      </c>
      <c r="C37" s="787"/>
      <c r="D37" s="788"/>
      <c r="E37" s="788" t="s">
        <v>801</v>
      </c>
      <c r="F37" s="788"/>
      <c r="G37" s="800"/>
      <c r="H37" s="789">
        <f>'[72]Von TW nam 2023'!$C$8</f>
        <v>500</v>
      </c>
      <c r="I37" s="788"/>
      <c r="J37" s="788"/>
      <c r="K37" s="788"/>
      <c r="L37" s="788"/>
      <c r="M37" s="788"/>
      <c r="N37" s="788"/>
      <c r="O37" s="788"/>
      <c r="P37" s="788"/>
      <c r="Q37" s="788"/>
      <c r="R37" s="788"/>
      <c r="S37" s="788"/>
      <c r="T37" s="788"/>
      <c r="U37" s="788" t="s">
        <v>811</v>
      </c>
      <c r="V37" s="801"/>
      <c r="W37" s="759"/>
      <c r="X37" s="760"/>
      <c r="Y37" s="815"/>
      <c r="Z37" s="759"/>
      <c r="AA37" s="759"/>
      <c r="AB37" s="759"/>
    </row>
    <row r="38" spans="1:28" s="790" customFormat="1" ht="17.25" customHeight="1">
      <c r="A38" s="802" t="s">
        <v>70</v>
      </c>
      <c r="B38" s="799" t="s">
        <v>812</v>
      </c>
      <c r="C38" s="787"/>
      <c r="D38" s="788"/>
      <c r="E38" s="788" t="s">
        <v>801</v>
      </c>
      <c r="F38" s="788"/>
      <c r="G38" s="800"/>
      <c r="H38" s="789">
        <f>'[68]Von TW nam 2023'!$C$18</f>
        <v>500</v>
      </c>
      <c r="I38" s="788"/>
      <c r="J38" s="788"/>
      <c r="K38" s="788"/>
      <c r="L38" s="788"/>
      <c r="M38" s="788"/>
      <c r="N38" s="788"/>
      <c r="O38" s="788"/>
      <c r="P38" s="788"/>
      <c r="Q38" s="788"/>
      <c r="R38" s="788"/>
      <c r="S38" s="788"/>
      <c r="T38" s="788"/>
      <c r="U38" s="788" t="s">
        <v>811</v>
      </c>
      <c r="V38" s="801"/>
      <c r="X38" s="803"/>
      <c r="Y38" s="804"/>
    </row>
    <row r="39" spans="1:28" s="805" customFormat="1" ht="25.5" customHeight="1">
      <c r="A39" s="785" t="s">
        <v>70</v>
      </c>
      <c r="B39" s="799" t="str">
        <f>'[70]KH 2023'!$B$206</f>
        <v>Sửa chữa, nâng cấp công trình thủy lợi đập Dộc Sộp thôn Phú Thọ</v>
      </c>
      <c r="C39" s="787"/>
      <c r="D39" s="788"/>
      <c r="E39" s="788" t="s">
        <v>801</v>
      </c>
      <c r="F39" s="788"/>
      <c r="G39" s="800"/>
      <c r="H39" s="789">
        <f>'[70]KH 2023'!$C$206/1000</f>
        <v>400</v>
      </c>
      <c r="I39" s="788"/>
      <c r="J39" s="788"/>
      <c r="K39" s="788"/>
      <c r="L39" s="788"/>
      <c r="M39" s="788"/>
      <c r="N39" s="788"/>
      <c r="O39" s="788"/>
      <c r="P39" s="788"/>
      <c r="Q39" s="788"/>
      <c r="R39" s="788"/>
      <c r="S39" s="788"/>
      <c r="T39" s="788"/>
      <c r="U39" s="788"/>
    </row>
    <row r="40" spans="1:28" s="790" customFormat="1" ht="27" customHeight="1">
      <c r="A40" s="806" t="s">
        <v>70</v>
      </c>
      <c r="B40" s="807" t="str">
        <f>'[69]Sheet1 (2)'!$G$40</f>
        <v>Xây dựng công trình thủy lợi Biện Nam thôn Đồng Giàn, xã Chân Sơn</v>
      </c>
      <c r="C40" s="808"/>
      <c r="D40" s="809"/>
      <c r="E40" s="788" t="s">
        <v>801</v>
      </c>
      <c r="F40" s="788"/>
      <c r="G40" s="800"/>
      <c r="H40" s="810">
        <f>'[69]Sheet1 (2)'!$F$40</f>
        <v>1000</v>
      </c>
      <c r="I40" s="811"/>
      <c r="J40" s="809"/>
      <c r="K40" s="809"/>
      <c r="L40" s="809"/>
      <c r="M40" s="809"/>
      <c r="N40" s="809"/>
      <c r="O40" s="809"/>
      <c r="P40" s="809"/>
      <c r="Q40" s="809"/>
      <c r="R40" s="809"/>
      <c r="S40" s="809"/>
      <c r="T40" s="809"/>
      <c r="U40" s="809" t="s">
        <v>813</v>
      </c>
      <c r="V40" s="801"/>
    </row>
    <row r="41" spans="1:28" s="784" customFormat="1" ht="22.5" customHeight="1">
      <c r="A41" s="791" t="s">
        <v>80</v>
      </c>
      <c r="B41" s="812" t="s">
        <v>75</v>
      </c>
      <c r="C41" s="781"/>
      <c r="D41" s="793"/>
      <c r="E41" s="793"/>
      <c r="F41" s="793"/>
      <c r="G41" s="813"/>
      <c r="H41" s="783">
        <f>SUM(H42:H60)</f>
        <v>28269</v>
      </c>
      <c r="I41" s="793"/>
      <c r="J41" s="793"/>
      <c r="K41" s="793"/>
      <c r="L41" s="793"/>
      <c r="M41" s="793"/>
      <c r="N41" s="793"/>
      <c r="O41" s="793"/>
      <c r="P41" s="793"/>
      <c r="Q41" s="793"/>
      <c r="R41" s="793"/>
      <c r="S41" s="793"/>
      <c r="T41" s="793"/>
      <c r="U41" s="793"/>
      <c r="W41" s="796"/>
      <c r="X41" s="797"/>
      <c r="Y41" s="797"/>
      <c r="Z41" s="798"/>
      <c r="AA41" s="796"/>
      <c r="AB41" s="796"/>
    </row>
    <row r="42" spans="1:28" s="790" customFormat="1" ht="26.25" customHeight="1">
      <c r="A42" s="802" t="s">
        <v>70</v>
      </c>
      <c r="B42" s="799" t="str">
        <f>'[68]Von TW nam 2023'!$B$10</f>
        <v>Bổ sung vốn xây dựng mới 02 phòng học bộ môn trường THCS Xuân Quang</v>
      </c>
      <c r="C42" s="787"/>
      <c r="D42" s="788"/>
      <c r="E42" s="788" t="s">
        <v>801</v>
      </c>
      <c r="F42" s="788"/>
      <c r="G42" s="800"/>
      <c r="H42" s="789">
        <f>'[68]Von TW nam 2023'!$C$10</f>
        <v>135</v>
      </c>
      <c r="I42" s="785"/>
      <c r="J42" s="788"/>
      <c r="K42" s="788"/>
      <c r="L42" s="788"/>
      <c r="M42" s="788"/>
      <c r="N42" s="788"/>
      <c r="O42" s="788"/>
      <c r="P42" s="788"/>
      <c r="Q42" s="788"/>
      <c r="R42" s="788"/>
      <c r="S42" s="788"/>
      <c r="T42" s="788"/>
      <c r="U42" s="788" t="s">
        <v>811</v>
      </c>
      <c r="V42" s="801"/>
      <c r="W42" s="759"/>
      <c r="X42" s="760"/>
      <c r="Y42" s="815"/>
      <c r="Z42" s="759"/>
      <c r="AA42" s="759"/>
      <c r="AB42" s="759"/>
    </row>
    <row r="43" spans="1:28" s="790" customFormat="1" ht="17.25" customHeight="1">
      <c r="A43" s="802" t="s">
        <v>70</v>
      </c>
      <c r="B43" s="799" t="s">
        <v>814</v>
      </c>
      <c r="C43" s="787"/>
      <c r="D43" s="788"/>
      <c r="E43" s="788" t="s">
        <v>801</v>
      </c>
      <c r="F43" s="788"/>
      <c r="G43" s="800"/>
      <c r="H43" s="789">
        <f>'[68]Von TW nam 2023'!$C$12</f>
        <v>1100</v>
      </c>
      <c r="I43" s="788"/>
      <c r="J43" s="788"/>
      <c r="K43" s="788"/>
      <c r="L43" s="788"/>
      <c r="M43" s="788"/>
      <c r="N43" s="788"/>
      <c r="O43" s="788"/>
      <c r="P43" s="788"/>
      <c r="Q43" s="788"/>
      <c r="R43" s="788"/>
      <c r="S43" s="788"/>
      <c r="T43" s="788"/>
      <c r="U43" s="788" t="s">
        <v>811</v>
      </c>
      <c r="V43" s="801"/>
      <c r="X43" s="803"/>
      <c r="Y43" s="804"/>
    </row>
    <row r="44" spans="1:28" s="790" customFormat="1" ht="24" customHeight="1">
      <c r="A44" s="802" t="s">
        <v>70</v>
      </c>
      <c r="B44" s="799" t="s">
        <v>815</v>
      </c>
      <c r="C44" s="787"/>
      <c r="D44" s="788"/>
      <c r="E44" s="788" t="s">
        <v>801</v>
      </c>
      <c r="F44" s="788"/>
      <c r="G44" s="800"/>
      <c r="H44" s="789">
        <f>'[68]Von TW nam 2023'!$C$20</f>
        <v>700</v>
      </c>
      <c r="I44" s="788"/>
      <c r="J44" s="788"/>
      <c r="K44" s="788"/>
      <c r="L44" s="788"/>
      <c r="M44" s="788"/>
      <c r="N44" s="788"/>
      <c r="O44" s="788"/>
      <c r="P44" s="788"/>
      <c r="Q44" s="788"/>
      <c r="R44" s="788"/>
      <c r="S44" s="788"/>
      <c r="T44" s="788"/>
      <c r="U44" s="788" t="s">
        <v>811</v>
      </c>
      <c r="V44" s="801"/>
      <c r="X44" s="803"/>
      <c r="Y44" s="804"/>
    </row>
    <row r="45" spans="1:28" s="817" customFormat="1" ht="39.75" customHeight="1">
      <c r="A45" s="785" t="s">
        <v>70</v>
      </c>
      <c r="B45" s="816" t="str">
        <f>'[69]huyện NTM'!$B$9</f>
        <v>Xây dựng phòng học, phòng bộ môn và khối phục vụ học tập, khối hành chính - quản trị; phòng chức năng, nhà đa năng và hạng mục phụ trợ trường THPT Hàm Yên</v>
      </c>
      <c r="C45" s="787"/>
      <c r="D45" s="769"/>
      <c r="E45" s="788" t="s">
        <v>801</v>
      </c>
      <c r="F45" s="788"/>
      <c r="G45" s="800"/>
      <c r="H45" s="789">
        <f>'[69]huyện NTM'!$D$9</f>
        <v>7025.2</v>
      </c>
      <c r="I45" s="769"/>
      <c r="J45" s="769"/>
      <c r="K45" s="769"/>
      <c r="L45" s="769"/>
      <c r="M45" s="769"/>
      <c r="N45" s="769"/>
      <c r="O45" s="769"/>
      <c r="P45" s="769"/>
      <c r="Q45" s="769"/>
      <c r="R45" s="769"/>
      <c r="S45" s="769"/>
      <c r="T45" s="769"/>
      <c r="U45" s="769" t="s">
        <v>816</v>
      </c>
    </row>
    <row r="46" spans="1:28" s="805" customFormat="1" ht="31.5" customHeight="1">
      <c r="A46" s="785" t="s">
        <v>70</v>
      </c>
      <c r="B46" s="799" t="s">
        <v>817</v>
      </c>
      <c r="C46" s="787"/>
      <c r="D46" s="788"/>
      <c r="E46" s="788" t="s">
        <v>801</v>
      </c>
      <c r="F46" s="788"/>
      <c r="G46" s="800"/>
      <c r="H46" s="789">
        <f>'[69]Sheet1 (2)'!$F$23</f>
        <v>300</v>
      </c>
      <c r="I46" s="788"/>
      <c r="J46" s="788"/>
      <c r="K46" s="788"/>
      <c r="L46" s="788"/>
      <c r="M46" s="788"/>
      <c r="N46" s="788"/>
      <c r="O46" s="788"/>
      <c r="P46" s="788"/>
      <c r="Q46" s="788"/>
      <c r="R46" s="788"/>
      <c r="S46" s="788"/>
      <c r="T46" s="788"/>
      <c r="U46" s="788" t="s">
        <v>813</v>
      </c>
    </row>
    <row r="47" spans="1:28" s="790" customFormat="1" ht="28.5" customHeight="1">
      <c r="A47" s="806" t="s">
        <v>70</v>
      </c>
      <c r="B47" s="807" t="str">
        <f>'[69]Sheet1 (2)'!$G$46</f>
        <v>Xây dựng công trình phụ trợ  trường PTDT bán trú tiểu học và THCS Quý Quân</v>
      </c>
      <c r="C47" s="808"/>
      <c r="D47" s="809"/>
      <c r="E47" s="788" t="s">
        <v>801</v>
      </c>
      <c r="F47" s="788"/>
      <c r="G47" s="800"/>
      <c r="H47" s="810">
        <f>'[69]Sheet1 (2)'!$F$46</f>
        <v>800</v>
      </c>
      <c r="I47" s="811"/>
      <c r="J47" s="809"/>
      <c r="K47" s="809"/>
      <c r="L47" s="809"/>
      <c r="M47" s="809"/>
      <c r="N47" s="809"/>
      <c r="O47" s="809"/>
      <c r="P47" s="809"/>
      <c r="Q47" s="809"/>
      <c r="R47" s="809"/>
      <c r="S47" s="809"/>
      <c r="T47" s="809"/>
      <c r="U47" s="809" t="s">
        <v>813</v>
      </c>
      <c r="V47" s="801"/>
    </row>
    <row r="48" spans="1:28" s="1255" customFormat="1" ht="30.75" customHeight="1">
      <c r="A48" s="1246" t="s">
        <v>70</v>
      </c>
      <c r="B48" s="1247" t="str">
        <f>'[69]Sheet1 (2)'!$G$49</f>
        <v>Nâng cấp, sửa chữa trường THCS Phúc Ninh và xây dựng các công trình phụ trợ</v>
      </c>
      <c r="C48" s="1248"/>
      <c r="D48" s="1249"/>
      <c r="E48" s="1250" t="s">
        <v>801</v>
      </c>
      <c r="F48" s="1250"/>
      <c r="G48" s="1251"/>
      <c r="H48" s="1252">
        <f>'[69]Sheet1 (2)'!$F$49</f>
        <v>300</v>
      </c>
      <c r="I48" s="1253"/>
      <c r="J48" s="1249"/>
      <c r="K48" s="1249"/>
      <c r="L48" s="1249"/>
      <c r="M48" s="1249"/>
      <c r="N48" s="1249"/>
      <c r="O48" s="1249"/>
      <c r="P48" s="1249"/>
      <c r="Q48" s="1249"/>
      <c r="R48" s="1249"/>
      <c r="S48" s="1249"/>
      <c r="T48" s="1249"/>
      <c r="U48" s="1249" t="s">
        <v>813</v>
      </c>
      <c r="V48" s="1254"/>
    </row>
    <row r="49" spans="1:28" s="1255" customFormat="1" ht="23.25" customHeight="1">
      <c r="A49" s="1246" t="s">
        <v>70</v>
      </c>
      <c r="B49" s="1247" t="str">
        <f>'[69]KH 2021-2022'!$B$22</f>
        <v>Xây dựng bếp ăn Trường Mầm Non Trung tâm xã Phúc Ninh</v>
      </c>
      <c r="C49" s="1248"/>
      <c r="D49" s="1249"/>
      <c r="E49" s="1250" t="s">
        <v>801</v>
      </c>
      <c r="F49" s="1250"/>
      <c r="G49" s="1251"/>
      <c r="H49" s="1252">
        <f>'[69]KH 2021-2022'!$D$22</f>
        <v>546</v>
      </c>
      <c r="I49" s="1253"/>
      <c r="J49" s="1249"/>
      <c r="K49" s="1249"/>
      <c r="L49" s="1249"/>
      <c r="M49" s="1249"/>
      <c r="N49" s="1249"/>
      <c r="O49" s="1249"/>
      <c r="P49" s="1249"/>
      <c r="Q49" s="1249"/>
      <c r="R49" s="1249"/>
      <c r="S49" s="1249"/>
      <c r="T49" s="1249"/>
      <c r="U49" s="1249" t="s">
        <v>813</v>
      </c>
      <c r="V49" s="1254"/>
    </row>
    <row r="50" spans="1:28" s="790" customFormat="1" ht="33.75" customHeight="1">
      <c r="A50" s="806"/>
      <c r="B50" s="807" t="str">
        <f>'[69]Sheet1 (2)'!$G$56</f>
        <v>Xây dựng các công trình phụ trợ trường tiểu học Tân Tiến phân hiệu Roàng</v>
      </c>
      <c r="C50" s="808"/>
      <c r="D50" s="809"/>
      <c r="E50" s="788" t="s">
        <v>801</v>
      </c>
      <c r="F50" s="788"/>
      <c r="G50" s="800"/>
      <c r="H50" s="810">
        <f>'[69]Sheet1 (2)'!$F$56</f>
        <v>200</v>
      </c>
      <c r="I50" s="811"/>
      <c r="J50" s="809"/>
      <c r="K50" s="809"/>
      <c r="L50" s="809"/>
      <c r="M50" s="809"/>
      <c r="N50" s="809"/>
      <c r="O50" s="809"/>
      <c r="P50" s="809"/>
      <c r="Q50" s="809"/>
      <c r="R50" s="809"/>
      <c r="S50" s="809"/>
      <c r="T50" s="809"/>
      <c r="U50" s="809" t="s">
        <v>813</v>
      </c>
      <c r="V50" s="801"/>
    </row>
    <row r="51" spans="1:28" s="790" customFormat="1" ht="20.25" customHeight="1">
      <c r="A51" s="806" t="s">
        <v>70</v>
      </c>
      <c r="B51" s="799" t="str">
        <f>'[70]KH 2023'!$B$187</f>
        <v>Xây dựng nhà mái che trường mầm non Sơn Nam</v>
      </c>
      <c r="C51" s="787"/>
      <c r="D51" s="788"/>
      <c r="E51" s="788" t="s">
        <v>801</v>
      </c>
      <c r="F51" s="788"/>
      <c r="G51" s="800"/>
      <c r="H51" s="789">
        <f>'[70]KH 2023'!$C$187/1000</f>
        <v>1078</v>
      </c>
      <c r="I51" s="809"/>
      <c r="J51" s="809"/>
      <c r="K51" s="809"/>
      <c r="L51" s="809"/>
      <c r="M51" s="809"/>
      <c r="N51" s="809"/>
      <c r="O51" s="809"/>
      <c r="P51" s="809"/>
      <c r="Q51" s="809"/>
      <c r="R51" s="809"/>
      <c r="S51" s="809"/>
      <c r="T51" s="809"/>
      <c r="U51" s="809" t="s">
        <v>818</v>
      </c>
    </row>
    <row r="52" spans="1:28" s="805" customFormat="1" ht="28.5" customHeight="1">
      <c r="A52" s="785" t="s">
        <v>70</v>
      </c>
      <c r="B52" s="799" t="str">
        <f>'[70]KH 2023'!$B$183</f>
        <v>Xây dựng 02 phòng học điểm trường Cây Thông, trường mầm non Đại Phú (giai đoạn 2)</v>
      </c>
      <c r="C52" s="787"/>
      <c r="D52" s="788"/>
      <c r="E52" s="788" t="s">
        <v>801</v>
      </c>
      <c r="F52" s="788"/>
      <c r="G52" s="800"/>
      <c r="H52" s="789">
        <f>'[70]KH 2023'!$C$183/1000</f>
        <v>1078</v>
      </c>
      <c r="I52" s="788"/>
      <c r="J52" s="788"/>
      <c r="K52" s="788"/>
      <c r="L52" s="788"/>
      <c r="M52" s="788"/>
      <c r="N52" s="788"/>
      <c r="O52" s="788"/>
      <c r="P52" s="788"/>
      <c r="Q52" s="788"/>
      <c r="R52" s="788"/>
      <c r="S52" s="788"/>
      <c r="T52" s="788"/>
      <c r="U52" s="788" t="s">
        <v>818</v>
      </c>
    </row>
    <row r="53" spans="1:28" s="805" customFormat="1" ht="15.75" customHeight="1">
      <c r="A53" s="785" t="s">
        <v>70</v>
      </c>
      <c r="B53" s="799" t="str">
        <f>'[70]KH 2023'!$B$194</f>
        <v>Xây dựng đường vào Trường Mầm non Phú Lương</v>
      </c>
      <c r="C53" s="787"/>
      <c r="D53" s="788"/>
      <c r="E53" s="788" t="s">
        <v>801</v>
      </c>
      <c r="F53" s="788"/>
      <c r="G53" s="800"/>
      <c r="H53" s="789">
        <f>'[70]KH 2023'!$C$194/1000</f>
        <v>200</v>
      </c>
      <c r="I53" s="788"/>
      <c r="J53" s="788"/>
      <c r="K53" s="788"/>
      <c r="L53" s="788"/>
      <c r="M53" s="788"/>
      <c r="N53" s="788"/>
      <c r="O53" s="788"/>
      <c r="P53" s="788"/>
      <c r="Q53" s="788"/>
      <c r="R53" s="788"/>
      <c r="S53" s="788"/>
      <c r="T53" s="788"/>
      <c r="U53" s="788" t="s">
        <v>818</v>
      </c>
    </row>
    <row r="54" spans="1:28" s="805" customFormat="1" ht="15.75" customHeight="1">
      <c r="A54" s="785" t="s">
        <v>70</v>
      </c>
      <c r="B54" s="799" t="str">
        <f>'[70]KH 2023'!$B$195</f>
        <v>Xây dựng 06 phòng học trường Mầm non Phú Lương</v>
      </c>
      <c r="C54" s="787"/>
      <c r="D54" s="788"/>
      <c r="E54" s="788" t="s">
        <v>801</v>
      </c>
      <c r="F54" s="788"/>
      <c r="G54" s="800"/>
      <c r="H54" s="789">
        <f>'[70]KH 2023'!$C$195/1000</f>
        <v>4989</v>
      </c>
      <c r="I54" s="788"/>
      <c r="J54" s="788"/>
      <c r="K54" s="788"/>
      <c r="L54" s="788"/>
      <c r="M54" s="788"/>
      <c r="N54" s="788"/>
      <c r="O54" s="788"/>
      <c r="P54" s="788"/>
      <c r="Q54" s="788"/>
      <c r="R54" s="788"/>
      <c r="S54" s="788"/>
      <c r="T54" s="788"/>
      <c r="U54" s="788" t="s">
        <v>818</v>
      </c>
    </row>
    <row r="55" spans="1:28" s="805" customFormat="1" ht="26.25" customHeight="1">
      <c r="A55" s="785" t="s">
        <v>70</v>
      </c>
      <c r="B55" s="799" t="str">
        <f>'[70]KH 2023'!$B$204</f>
        <v>Xây dựng nhà hai tầng các phòng chức năng Trường THCS Vân Sơn</v>
      </c>
      <c r="C55" s="787"/>
      <c r="D55" s="788"/>
      <c r="E55" s="788" t="s">
        <v>801</v>
      </c>
      <c r="F55" s="788"/>
      <c r="G55" s="800"/>
      <c r="H55" s="789">
        <f>'[70]KH 2023'!$C$204/1000</f>
        <v>5389</v>
      </c>
      <c r="I55" s="788"/>
      <c r="J55" s="788"/>
      <c r="K55" s="788"/>
      <c r="L55" s="788"/>
      <c r="M55" s="788"/>
      <c r="N55" s="788"/>
      <c r="O55" s="788"/>
      <c r="P55" s="788"/>
      <c r="Q55" s="788"/>
      <c r="R55" s="788"/>
      <c r="S55" s="788"/>
      <c r="T55" s="788"/>
      <c r="U55" s="788" t="s">
        <v>818</v>
      </c>
    </row>
    <row r="56" spans="1:28" s="805" customFormat="1" ht="15.75" customHeight="1">
      <c r="A56" s="785" t="s">
        <v>70</v>
      </c>
      <c r="B56" s="799" t="str">
        <f>'[70]KH 2023'!$B$216</f>
        <v>Xây dựng nhà mái che Trường Mầm non Hồng Lạc</v>
      </c>
      <c r="C56" s="787"/>
      <c r="D56" s="788"/>
      <c r="E56" s="788" t="s">
        <v>801</v>
      </c>
      <c r="F56" s="788"/>
      <c r="G56" s="800"/>
      <c r="H56" s="789">
        <f>'[70]KH 2023'!$C$216/1000</f>
        <v>500</v>
      </c>
      <c r="I56" s="788"/>
      <c r="J56" s="788"/>
      <c r="K56" s="788"/>
      <c r="L56" s="788"/>
      <c r="M56" s="788"/>
      <c r="N56" s="788"/>
      <c r="O56" s="788"/>
      <c r="P56" s="788"/>
      <c r="Q56" s="788"/>
      <c r="R56" s="788"/>
      <c r="S56" s="788"/>
      <c r="T56" s="788"/>
      <c r="U56" s="788" t="s">
        <v>818</v>
      </c>
    </row>
    <row r="57" spans="1:28" s="805" customFormat="1" ht="25.5" customHeight="1">
      <c r="A57" s="785" t="s">
        <v>70</v>
      </c>
      <c r="B57" s="799" t="str">
        <f>'[70]KH 2023'!$B$219</f>
        <v>Xây dựng 2 phòng chức năng trường TH&amp;THCS Trường Sinh 1</v>
      </c>
      <c r="C57" s="787"/>
      <c r="D57" s="788"/>
      <c r="E57" s="788" t="s">
        <v>801</v>
      </c>
      <c r="F57" s="788"/>
      <c r="G57" s="800"/>
      <c r="H57" s="789">
        <f>'[70]KH 2023'!$C$219/1000</f>
        <v>1078</v>
      </c>
      <c r="I57" s="788"/>
      <c r="J57" s="788"/>
      <c r="K57" s="788"/>
      <c r="L57" s="788"/>
      <c r="M57" s="788"/>
      <c r="N57" s="788"/>
      <c r="O57" s="788"/>
      <c r="P57" s="788"/>
      <c r="Q57" s="788"/>
      <c r="R57" s="788"/>
      <c r="S57" s="788"/>
      <c r="T57" s="788"/>
      <c r="U57" s="788" t="s">
        <v>818</v>
      </c>
    </row>
    <row r="58" spans="1:28" s="790" customFormat="1" ht="15.75" customHeight="1">
      <c r="A58" s="806" t="s">
        <v>70</v>
      </c>
      <c r="B58" s="807" t="s">
        <v>819</v>
      </c>
      <c r="C58" s="808"/>
      <c r="D58" s="809"/>
      <c r="E58" s="788" t="s">
        <v>801</v>
      </c>
      <c r="F58" s="788"/>
      <c r="G58" s="800"/>
      <c r="H58" s="810">
        <v>250</v>
      </c>
      <c r="I58" s="809"/>
      <c r="J58" s="809"/>
      <c r="K58" s="809"/>
      <c r="L58" s="809"/>
      <c r="M58" s="809"/>
      <c r="N58" s="809"/>
      <c r="O58" s="809"/>
      <c r="P58" s="809"/>
      <c r="Q58" s="809"/>
      <c r="R58" s="809"/>
      <c r="S58" s="809"/>
      <c r="T58" s="809"/>
      <c r="U58" s="809" t="s">
        <v>820</v>
      </c>
    </row>
    <row r="59" spans="1:28" s="790" customFormat="1" ht="15.75" customHeight="1">
      <c r="A59" s="806" t="s">
        <v>70</v>
      </c>
      <c r="B59" s="807" t="s">
        <v>821</v>
      </c>
      <c r="C59" s="808"/>
      <c r="D59" s="809"/>
      <c r="E59" s="788" t="s">
        <v>801</v>
      </c>
      <c r="F59" s="788"/>
      <c r="G59" s="800"/>
      <c r="H59" s="810">
        <v>800</v>
      </c>
      <c r="I59" s="809"/>
      <c r="J59" s="809"/>
      <c r="K59" s="809"/>
      <c r="L59" s="809"/>
      <c r="M59" s="809"/>
      <c r="N59" s="809"/>
      <c r="O59" s="809"/>
      <c r="P59" s="809"/>
      <c r="Q59" s="809"/>
      <c r="R59" s="809"/>
      <c r="S59" s="809"/>
      <c r="T59" s="809"/>
      <c r="U59" s="809" t="s">
        <v>820</v>
      </c>
    </row>
    <row r="60" spans="1:28" s="790" customFormat="1" ht="15.75" customHeight="1">
      <c r="A60" s="806" t="s">
        <v>70</v>
      </c>
      <c r="B60" s="807" t="s">
        <v>822</v>
      </c>
      <c r="C60" s="808"/>
      <c r="D60" s="809"/>
      <c r="E60" s="788" t="s">
        <v>801</v>
      </c>
      <c r="F60" s="788"/>
      <c r="G60" s="800"/>
      <c r="H60" s="810">
        <v>1800.8</v>
      </c>
      <c r="I60" s="809"/>
      <c r="J60" s="809"/>
      <c r="K60" s="809"/>
      <c r="L60" s="809"/>
      <c r="M60" s="809"/>
      <c r="N60" s="809"/>
      <c r="O60" s="809"/>
      <c r="P60" s="809"/>
      <c r="Q60" s="809"/>
      <c r="R60" s="809"/>
      <c r="S60" s="809"/>
      <c r="T60" s="809"/>
      <c r="U60" s="809" t="s">
        <v>820</v>
      </c>
      <c r="V60" s="801"/>
    </row>
    <row r="61" spans="1:28" s="784" customFormat="1" ht="22.5" customHeight="1">
      <c r="A61" s="791" t="s">
        <v>82</v>
      </c>
      <c r="B61" s="792" t="s">
        <v>823</v>
      </c>
      <c r="C61" s="781"/>
      <c r="D61" s="793"/>
      <c r="E61" s="793"/>
      <c r="F61" s="793"/>
      <c r="G61" s="813"/>
      <c r="H61" s="783">
        <f>H62</f>
        <v>500</v>
      </c>
      <c r="I61" s="793"/>
      <c r="J61" s="793"/>
      <c r="K61" s="793"/>
      <c r="L61" s="793"/>
      <c r="M61" s="793"/>
      <c r="N61" s="793"/>
      <c r="O61" s="793"/>
      <c r="P61" s="793"/>
      <c r="Q61" s="793"/>
      <c r="R61" s="793"/>
      <c r="S61" s="793"/>
      <c r="T61" s="793"/>
      <c r="U61" s="793"/>
      <c r="W61" s="796"/>
      <c r="X61" s="797"/>
      <c r="Y61" s="797"/>
      <c r="Z61" s="798"/>
      <c r="AA61" s="796"/>
      <c r="AB61" s="796"/>
    </row>
    <row r="62" spans="1:28" s="790" customFormat="1" ht="17.25" customHeight="1">
      <c r="A62" s="802" t="s">
        <v>70</v>
      </c>
      <c r="B62" s="799" t="s">
        <v>824</v>
      </c>
      <c r="C62" s="787"/>
      <c r="D62" s="788"/>
      <c r="E62" s="788" t="s">
        <v>801</v>
      </c>
      <c r="F62" s="788"/>
      <c r="G62" s="800"/>
      <c r="H62" s="789">
        <f>'[68]Von TW nam 2023'!$C$14</f>
        <v>500</v>
      </c>
      <c r="I62" s="788"/>
      <c r="J62" s="788"/>
      <c r="K62" s="788"/>
      <c r="L62" s="788"/>
      <c r="M62" s="788"/>
      <c r="N62" s="788"/>
      <c r="O62" s="788"/>
      <c r="P62" s="788"/>
      <c r="Q62" s="788"/>
      <c r="R62" s="788"/>
      <c r="S62" s="788"/>
      <c r="T62" s="788"/>
      <c r="U62" s="788"/>
      <c r="V62" s="801"/>
      <c r="X62" s="803"/>
      <c r="Y62" s="804"/>
    </row>
    <row r="63" spans="1:28" s="784" customFormat="1" ht="22.5" customHeight="1">
      <c r="A63" s="791" t="s">
        <v>87</v>
      </c>
      <c r="B63" s="792" t="s">
        <v>825</v>
      </c>
      <c r="C63" s="781"/>
      <c r="D63" s="793"/>
      <c r="E63" s="793"/>
      <c r="F63" s="793"/>
      <c r="G63" s="813"/>
      <c r="H63" s="783">
        <f>H64</f>
        <v>3000</v>
      </c>
      <c r="I63" s="793"/>
      <c r="J63" s="793"/>
      <c r="K63" s="793"/>
      <c r="L63" s="793"/>
      <c r="M63" s="793"/>
      <c r="N63" s="793"/>
      <c r="O63" s="793"/>
      <c r="P63" s="793"/>
      <c r="Q63" s="793"/>
      <c r="R63" s="793"/>
      <c r="S63" s="793"/>
      <c r="T63" s="793"/>
      <c r="U63" s="793"/>
      <c r="W63" s="796"/>
      <c r="X63" s="797"/>
      <c r="Y63" s="797"/>
      <c r="Z63" s="798"/>
      <c r="AA63" s="796"/>
      <c r="AB63" s="796"/>
    </row>
    <row r="64" spans="1:28" s="817" customFormat="1" ht="18" customHeight="1">
      <c r="A64" s="818" t="s">
        <v>70</v>
      </c>
      <c r="B64" s="819" t="str">
        <f>'[69]huyện NTM'!$B$6</f>
        <v>Xây dựng bể bơi huyện</v>
      </c>
      <c r="C64" s="820"/>
      <c r="D64" s="821"/>
      <c r="E64" s="822" t="s">
        <v>801</v>
      </c>
      <c r="F64" s="822"/>
      <c r="G64" s="823"/>
      <c r="H64" s="824">
        <f>'[69]huyện NTM'!$D$6</f>
        <v>3000</v>
      </c>
      <c r="I64" s="821"/>
      <c r="J64" s="821"/>
      <c r="K64" s="821"/>
      <c r="L64" s="821"/>
      <c r="M64" s="821"/>
      <c r="N64" s="821"/>
      <c r="O64" s="821"/>
      <c r="P64" s="821"/>
      <c r="Q64" s="821"/>
      <c r="R64" s="821"/>
      <c r="S64" s="821"/>
      <c r="T64" s="821"/>
      <c r="U64" s="821"/>
    </row>
    <row r="65" spans="1:21" s="826" customFormat="1" ht="18" customHeight="1">
      <c r="A65" s="791" t="s">
        <v>92</v>
      </c>
      <c r="B65" s="825" t="s">
        <v>826</v>
      </c>
      <c r="C65" s="781"/>
      <c r="D65" s="782"/>
      <c r="E65" s="793"/>
      <c r="F65" s="793"/>
      <c r="G65" s="813"/>
      <c r="H65" s="783">
        <f>SUM(H66:H76)</f>
        <v>8591</v>
      </c>
      <c r="I65" s="782"/>
      <c r="J65" s="782"/>
      <c r="K65" s="782"/>
      <c r="L65" s="782"/>
      <c r="M65" s="782"/>
      <c r="N65" s="782"/>
      <c r="O65" s="782"/>
      <c r="P65" s="782"/>
      <c r="Q65" s="782"/>
      <c r="R65" s="782"/>
      <c r="S65" s="782"/>
      <c r="T65" s="782"/>
      <c r="U65" s="782"/>
    </row>
    <row r="66" spans="1:21" s="817" customFormat="1" ht="18" customHeight="1">
      <c r="A66" s="818" t="s">
        <v>70</v>
      </c>
      <c r="B66" s="827" t="str">
        <f>'[69]huyện NTM'!$B$7</f>
        <v>Nâng cấp trung tâm Văn hóa - Thể thao huyện đạt chuẩn</v>
      </c>
      <c r="C66" s="820"/>
      <c r="D66" s="821"/>
      <c r="E66" s="822" t="s">
        <v>801</v>
      </c>
      <c r="F66" s="822"/>
      <c r="G66" s="823"/>
      <c r="H66" s="824">
        <f>'[69]huyện NTM'!$D$7</f>
        <v>3000</v>
      </c>
      <c r="I66" s="821"/>
      <c r="J66" s="821"/>
      <c r="K66" s="821"/>
      <c r="L66" s="821"/>
      <c r="M66" s="821"/>
      <c r="N66" s="821"/>
      <c r="O66" s="821"/>
      <c r="P66" s="821"/>
      <c r="Q66" s="821"/>
      <c r="R66" s="821"/>
      <c r="S66" s="821"/>
      <c r="T66" s="821"/>
      <c r="U66" s="821"/>
    </row>
    <row r="67" spans="1:21" s="805" customFormat="1" ht="16.5" customHeight="1">
      <c r="A67" s="785" t="s">
        <v>70</v>
      </c>
      <c r="B67" s="799" t="str">
        <f>'[70]KH 2023'!$B$190</f>
        <v>Nâng cấp, cải tạo Nhà văn hoá thôn Tân Lập</v>
      </c>
      <c r="C67" s="787"/>
      <c r="D67" s="788"/>
      <c r="E67" s="788" t="s">
        <v>801</v>
      </c>
      <c r="F67" s="788"/>
      <c r="G67" s="800"/>
      <c r="H67" s="789">
        <f>'[70]KH 2023'!$C$190/1000</f>
        <v>100</v>
      </c>
      <c r="I67" s="788"/>
      <c r="J67" s="788"/>
      <c r="K67" s="788"/>
      <c r="L67" s="788"/>
      <c r="M67" s="788"/>
      <c r="N67" s="788"/>
      <c r="O67" s="788"/>
      <c r="P67" s="788"/>
      <c r="Q67" s="788"/>
      <c r="R67" s="788"/>
      <c r="S67" s="788"/>
      <c r="T67" s="788"/>
      <c r="U67" s="788" t="s">
        <v>818</v>
      </c>
    </row>
    <row r="68" spans="1:21" s="805" customFormat="1" ht="28.5" customHeight="1">
      <c r="A68" s="785" t="s">
        <v>70</v>
      </c>
      <c r="B68" s="799" t="str">
        <f>'[70]KH 2023'!$B$191</f>
        <v>Xây dựng cổng và hàng rào nhà văn hoá thôn Tiền Phong và thôn Vĩnh Tân</v>
      </c>
      <c r="C68" s="787"/>
      <c r="D68" s="788"/>
      <c r="E68" s="788" t="s">
        <v>801</v>
      </c>
      <c r="F68" s="788"/>
      <c r="G68" s="800"/>
      <c r="H68" s="789">
        <f>'[70]KH 2023'!$C$191/1000</f>
        <v>146</v>
      </c>
      <c r="I68" s="788"/>
      <c r="J68" s="788"/>
      <c r="K68" s="788"/>
      <c r="L68" s="788"/>
      <c r="M68" s="788"/>
      <c r="N68" s="788"/>
      <c r="O68" s="788"/>
      <c r="P68" s="788"/>
      <c r="Q68" s="788"/>
      <c r="R68" s="788"/>
      <c r="S68" s="788"/>
      <c r="T68" s="788"/>
      <c r="U68" s="788" t="s">
        <v>818</v>
      </c>
    </row>
    <row r="69" spans="1:21" s="805" customFormat="1" ht="15.75" customHeight="1">
      <c r="A69" s="785" t="s">
        <v>70</v>
      </c>
      <c r="B69" s="799" t="str">
        <f>'[70]KH 2023'!$B$199</f>
        <v>Sửa chữa, nâng cấp nhà văn hoá xã</v>
      </c>
      <c r="C69" s="787"/>
      <c r="D69" s="788"/>
      <c r="E69" s="788" t="s">
        <v>801</v>
      </c>
      <c r="F69" s="788"/>
      <c r="G69" s="800"/>
      <c r="H69" s="789">
        <f>'[70]KH 2023'!$C$199/1000</f>
        <v>1078</v>
      </c>
      <c r="I69" s="788"/>
      <c r="J69" s="788"/>
      <c r="K69" s="788"/>
      <c r="L69" s="788"/>
      <c r="M69" s="788"/>
      <c r="N69" s="788"/>
      <c r="O69" s="788"/>
      <c r="P69" s="788"/>
      <c r="Q69" s="788"/>
      <c r="R69" s="788"/>
      <c r="S69" s="788"/>
      <c r="T69" s="788"/>
      <c r="U69" s="788" t="s">
        <v>818</v>
      </c>
    </row>
    <row r="70" spans="1:21" s="805" customFormat="1" ht="28.5" customHeight="1">
      <c r="A70" s="785" t="s">
        <v>70</v>
      </c>
      <c r="B70" s="799" t="s">
        <v>827</v>
      </c>
      <c r="C70" s="787"/>
      <c r="D70" s="788"/>
      <c r="E70" s="788" t="s">
        <v>801</v>
      </c>
      <c r="F70" s="788"/>
      <c r="G70" s="800"/>
      <c r="H70" s="789">
        <f>'[70]KH 2023'!$C$202/1000</f>
        <v>300</v>
      </c>
      <c r="I70" s="788"/>
      <c r="J70" s="788"/>
      <c r="K70" s="788"/>
      <c r="L70" s="788"/>
      <c r="M70" s="788"/>
      <c r="N70" s="788"/>
      <c r="O70" s="788"/>
      <c r="P70" s="788"/>
      <c r="Q70" s="788"/>
      <c r="R70" s="788"/>
      <c r="S70" s="788"/>
      <c r="T70" s="788"/>
      <c r="U70" s="788" t="s">
        <v>818</v>
      </c>
    </row>
    <row r="71" spans="1:21" s="805" customFormat="1" ht="25.5">
      <c r="A71" s="785" t="s">
        <v>70</v>
      </c>
      <c r="B71" s="799" t="s">
        <v>828</v>
      </c>
      <c r="C71" s="787"/>
      <c r="D71" s="788"/>
      <c r="E71" s="788" t="s">
        <v>801</v>
      </c>
      <c r="F71" s="788"/>
      <c r="G71" s="800"/>
      <c r="H71" s="789">
        <f>'[70]KH 2023'!$C$210/1000</f>
        <v>300</v>
      </c>
      <c r="I71" s="788"/>
      <c r="J71" s="788"/>
      <c r="K71" s="788"/>
      <c r="L71" s="788"/>
      <c r="M71" s="788"/>
      <c r="N71" s="788"/>
      <c r="O71" s="788"/>
      <c r="P71" s="788"/>
      <c r="Q71" s="788"/>
      <c r="R71" s="788"/>
      <c r="S71" s="788"/>
      <c r="T71" s="788"/>
      <c r="U71" s="788" t="s">
        <v>818</v>
      </c>
    </row>
    <row r="72" spans="1:21" s="805" customFormat="1" ht="25.5">
      <c r="A72" s="785" t="s">
        <v>70</v>
      </c>
      <c r="B72" s="799" t="s">
        <v>829</v>
      </c>
      <c r="C72" s="787"/>
      <c r="D72" s="788"/>
      <c r="E72" s="788" t="s">
        <v>801</v>
      </c>
      <c r="F72" s="788"/>
      <c r="G72" s="800"/>
      <c r="H72" s="789">
        <f>'[70]KH 2023'!$C$211/1000</f>
        <v>300</v>
      </c>
      <c r="I72" s="788"/>
      <c r="J72" s="788"/>
      <c r="K72" s="788"/>
      <c r="L72" s="788"/>
      <c r="M72" s="788"/>
      <c r="N72" s="788"/>
      <c r="O72" s="788"/>
      <c r="P72" s="788"/>
      <c r="Q72" s="788"/>
      <c r="R72" s="788"/>
      <c r="S72" s="788"/>
      <c r="T72" s="788"/>
      <c r="U72" s="788" t="s">
        <v>818</v>
      </c>
    </row>
    <row r="73" spans="1:21" s="805" customFormat="1" ht="25.5">
      <c r="A73" s="785" t="s">
        <v>70</v>
      </c>
      <c r="B73" s="799" t="s">
        <v>830</v>
      </c>
      <c r="C73" s="787"/>
      <c r="D73" s="788"/>
      <c r="E73" s="788" t="s">
        <v>801</v>
      </c>
      <c r="F73" s="788"/>
      <c r="G73" s="800"/>
      <c r="H73" s="789">
        <f>'[70]KH 2023'!$C$212/1000</f>
        <v>300</v>
      </c>
      <c r="I73" s="788"/>
      <c r="J73" s="788"/>
      <c r="K73" s="788"/>
      <c r="L73" s="788"/>
      <c r="M73" s="788"/>
      <c r="N73" s="788"/>
      <c r="O73" s="788"/>
      <c r="P73" s="788"/>
      <c r="Q73" s="788"/>
      <c r="R73" s="788"/>
      <c r="S73" s="788"/>
      <c r="T73" s="788"/>
      <c r="U73" s="788" t="s">
        <v>818</v>
      </c>
    </row>
    <row r="74" spans="1:21" s="805" customFormat="1" ht="25.5">
      <c r="A74" s="785" t="s">
        <v>70</v>
      </c>
      <c r="B74" s="799" t="s">
        <v>831</v>
      </c>
      <c r="C74" s="787"/>
      <c r="D74" s="788"/>
      <c r="E74" s="788" t="s">
        <v>801</v>
      </c>
      <c r="F74" s="788"/>
      <c r="G74" s="800"/>
      <c r="H74" s="789">
        <f>'[70]KH 2023'!$C$213/1000</f>
        <v>300</v>
      </c>
      <c r="I74" s="788"/>
      <c r="J74" s="788"/>
      <c r="K74" s="788"/>
      <c r="L74" s="788"/>
      <c r="M74" s="788"/>
      <c r="N74" s="788"/>
      <c r="O74" s="788"/>
      <c r="P74" s="788"/>
      <c r="Q74" s="788"/>
      <c r="R74" s="788"/>
      <c r="S74" s="788"/>
      <c r="T74" s="788"/>
      <c r="U74" s="788" t="s">
        <v>818</v>
      </c>
    </row>
    <row r="75" spans="1:21" s="805" customFormat="1" ht="25.5" customHeight="1">
      <c r="A75" s="785" t="s">
        <v>70</v>
      </c>
      <c r="B75" s="799" t="str">
        <f>'[70]KH 2023'!$B$214</f>
        <v>Xây dựng mặt bằng khu vui chơi của xã cho trẻ em và người cao tuổi</v>
      </c>
      <c r="C75" s="787"/>
      <c r="D75" s="788"/>
      <c r="E75" s="788" t="s">
        <v>801</v>
      </c>
      <c r="F75" s="788"/>
      <c r="G75" s="800"/>
      <c r="H75" s="789">
        <f>'[70]KH 2023'!$C$214/1000</f>
        <v>2189</v>
      </c>
      <c r="I75" s="788"/>
      <c r="J75" s="788"/>
      <c r="K75" s="788"/>
      <c r="L75" s="788"/>
      <c r="M75" s="788"/>
      <c r="N75" s="788"/>
      <c r="O75" s="788"/>
      <c r="P75" s="788"/>
      <c r="Q75" s="788"/>
      <c r="R75" s="788"/>
      <c r="S75" s="788"/>
      <c r="T75" s="788"/>
      <c r="U75" s="788" t="s">
        <v>818</v>
      </c>
    </row>
    <row r="76" spans="1:21" s="805" customFormat="1" ht="29.25" customHeight="1">
      <c r="A76" s="785" t="s">
        <v>70</v>
      </c>
      <c r="B76" s="799" t="str">
        <f>'[70]KH 2023'!$B$217</f>
        <v>Xây dựng hạng mục phụ trợ (cổng, tường rào,…) 08 nhà văn hoá thôn</v>
      </c>
      <c r="C76" s="787"/>
      <c r="D76" s="788"/>
      <c r="E76" s="788" t="s">
        <v>801</v>
      </c>
      <c r="F76" s="788"/>
      <c r="G76" s="800"/>
      <c r="H76" s="789">
        <f>'[70]KH 2023'!$C$217/1000</f>
        <v>578</v>
      </c>
      <c r="I76" s="788"/>
      <c r="J76" s="788"/>
      <c r="K76" s="788"/>
      <c r="L76" s="788"/>
      <c r="M76" s="788"/>
      <c r="N76" s="788"/>
      <c r="O76" s="788"/>
      <c r="P76" s="788"/>
      <c r="Q76" s="788"/>
      <c r="R76" s="788"/>
      <c r="S76" s="788"/>
      <c r="T76" s="788"/>
      <c r="U76" s="788" t="s">
        <v>818</v>
      </c>
    </row>
    <row r="77" spans="1:21" s="826" customFormat="1" ht="18" customHeight="1">
      <c r="A77" s="791" t="s">
        <v>832</v>
      </c>
      <c r="B77" s="825" t="s">
        <v>433</v>
      </c>
      <c r="C77" s="781"/>
      <c r="D77" s="782"/>
      <c r="E77" s="793"/>
      <c r="F77" s="793"/>
      <c r="G77" s="813"/>
      <c r="H77" s="783">
        <f>H78</f>
        <v>1500</v>
      </c>
      <c r="I77" s="782"/>
      <c r="J77" s="782"/>
      <c r="K77" s="782"/>
      <c r="L77" s="782"/>
      <c r="M77" s="782"/>
      <c r="N77" s="782"/>
      <c r="O77" s="782"/>
      <c r="P77" s="782"/>
      <c r="Q77" s="782"/>
      <c r="R77" s="782"/>
      <c r="S77" s="782"/>
      <c r="T77" s="782"/>
      <c r="U77" s="782"/>
    </row>
    <row r="78" spans="1:21" s="817" customFormat="1" ht="18" customHeight="1">
      <c r="A78" s="818" t="s">
        <v>70</v>
      </c>
      <c r="B78" s="819" t="str">
        <f>'[69]huyện NTM'!$B$10</f>
        <v>Nâng cấp chợ trung tâm huyện</v>
      </c>
      <c r="C78" s="820"/>
      <c r="D78" s="821"/>
      <c r="E78" s="822" t="s">
        <v>801</v>
      </c>
      <c r="F78" s="822"/>
      <c r="G78" s="823"/>
      <c r="H78" s="824">
        <f>'[69]huyện NTM'!$D$10</f>
        <v>1500</v>
      </c>
      <c r="I78" s="821"/>
      <c r="J78" s="821"/>
      <c r="K78" s="821"/>
      <c r="L78" s="821"/>
      <c r="M78" s="821"/>
      <c r="N78" s="821"/>
      <c r="O78" s="821"/>
      <c r="P78" s="821"/>
      <c r="Q78" s="821"/>
      <c r="R78" s="821"/>
      <c r="S78" s="821"/>
      <c r="T78" s="821"/>
      <c r="U78" s="821"/>
    </row>
    <row r="79" spans="1:21" s="826" customFormat="1" ht="18" customHeight="1">
      <c r="A79" s="791" t="s">
        <v>833</v>
      </c>
      <c r="B79" s="825" t="s">
        <v>834</v>
      </c>
      <c r="C79" s="781"/>
      <c r="D79" s="782"/>
      <c r="E79" s="793"/>
      <c r="F79" s="793"/>
      <c r="G79" s="813"/>
      <c r="H79" s="783">
        <f>H80</f>
        <v>1000</v>
      </c>
      <c r="I79" s="782"/>
      <c r="J79" s="782"/>
      <c r="K79" s="782"/>
      <c r="L79" s="782"/>
      <c r="M79" s="782"/>
      <c r="N79" s="782"/>
      <c r="O79" s="782"/>
      <c r="P79" s="782"/>
      <c r="Q79" s="782"/>
      <c r="R79" s="782"/>
      <c r="S79" s="782"/>
      <c r="T79" s="782"/>
      <c r="U79" s="782"/>
    </row>
    <row r="80" spans="1:21" s="817" customFormat="1" ht="25.5" customHeight="1">
      <c r="A80" s="818" t="s">
        <v>70</v>
      </c>
      <c r="B80" s="827" t="str">
        <f>'[69]huyện NTM'!$B$8</f>
        <v>Nâng cấp Trung tâm phát thanh của Trung tâm văn hóa Truyền thông và thể thao huyện</v>
      </c>
      <c r="C80" s="820"/>
      <c r="D80" s="821"/>
      <c r="E80" s="822" t="s">
        <v>801</v>
      </c>
      <c r="F80" s="822"/>
      <c r="G80" s="823"/>
      <c r="H80" s="824">
        <f>'[69]huyện NTM'!$D$8</f>
        <v>1000</v>
      </c>
      <c r="I80" s="821"/>
      <c r="J80" s="821"/>
      <c r="K80" s="821"/>
      <c r="L80" s="821"/>
      <c r="M80" s="821"/>
      <c r="N80" s="821"/>
      <c r="O80" s="821"/>
      <c r="P80" s="821"/>
      <c r="Q80" s="821"/>
      <c r="R80" s="821"/>
      <c r="S80" s="821"/>
      <c r="T80" s="821"/>
      <c r="U80" s="821"/>
    </row>
    <row r="81" spans="1:28" s="826" customFormat="1" ht="18" customHeight="1">
      <c r="A81" s="791" t="s">
        <v>835</v>
      </c>
      <c r="B81" s="825" t="s">
        <v>583</v>
      </c>
      <c r="C81" s="781"/>
      <c r="D81" s="782"/>
      <c r="E81" s="793"/>
      <c r="F81" s="793"/>
      <c r="G81" s="813"/>
      <c r="H81" s="783">
        <f>SUM(H82:H84)</f>
        <v>2778</v>
      </c>
      <c r="I81" s="782"/>
      <c r="J81" s="782"/>
      <c r="K81" s="782"/>
      <c r="L81" s="782"/>
      <c r="M81" s="782"/>
      <c r="N81" s="782"/>
      <c r="O81" s="782"/>
      <c r="P81" s="782"/>
      <c r="Q81" s="782"/>
      <c r="R81" s="782"/>
      <c r="S81" s="782"/>
      <c r="T81" s="782"/>
      <c r="U81" s="782"/>
    </row>
    <row r="82" spans="1:28" s="817" customFormat="1" ht="26.25" customHeight="1">
      <c r="A82" s="785" t="s">
        <v>70</v>
      </c>
      <c r="B82" s="816" t="str">
        <f>'[69]huyện NTM'!$B$11</f>
        <v xml:space="preserve">Xây dựng 01 mô hình tái chế chất thải hữu cơ, phụ phẩm nông nghiệp </v>
      </c>
      <c r="C82" s="787"/>
      <c r="D82" s="769"/>
      <c r="E82" s="788" t="s">
        <v>801</v>
      </c>
      <c r="F82" s="788"/>
      <c r="G82" s="800"/>
      <c r="H82" s="789">
        <f>'[69]huyện NTM'!$D$11</f>
        <v>1500</v>
      </c>
      <c r="I82" s="769"/>
      <c r="J82" s="769"/>
      <c r="K82" s="769"/>
      <c r="L82" s="769"/>
      <c r="M82" s="769"/>
      <c r="N82" s="769"/>
      <c r="O82" s="769"/>
      <c r="P82" s="769"/>
      <c r="Q82" s="769"/>
      <c r="R82" s="769"/>
      <c r="S82" s="769"/>
      <c r="T82" s="769"/>
      <c r="U82" s="769"/>
    </row>
    <row r="83" spans="1:28" s="805" customFormat="1" ht="15.75" customHeight="1">
      <c r="A83" s="785" t="s">
        <v>70</v>
      </c>
      <c r="B83" s="799" t="str">
        <f>'[70]KH 2023'!$B$193</f>
        <v>Xây dựng nghĩa trang thôn Lão Nhiêu, Lãng Nhiêu</v>
      </c>
      <c r="C83" s="787"/>
      <c r="D83" s="788"/>
      <c r="E83" s="788" t="s">
        <v>801</v>
      </c>
      <c r="F83" s="788"/>
      <c r="G83" s="800"/>
      <c r="H83" s="789">
        <f>'[70]KH 2023'!$C$193/1000</f>
        <v>200</v>
      </c>
      <c r="I83" s="788"/>
      <c r="J83" s="788"/>
      <c r="K83" s="788"/>
      <c r="L83" s="788"/>
      <c r="M83" s="788"/>
      <c r="N83" s="788"/>
      <c r="O83" s="788"/>
      <c r="P83" s="788"/>
      <c r="Q83" s="788"/>
      <c r="R83" s="788"/>
      <c r="S83" s="788"/>
      <c r="T83" s="788"/>
      <c r="U83" s="788" t="s">
        <v>818</v>
      </c>
    </row>
    <row r="84" spans="1:28" s="805" customFormat="1" ht="26.25" customHeight="1">
      <c r="A84" s="785" t="s">
        <v>70</v>
      </c>
      <c r="B84" s="799" t="str">
        <f>'[70]KH 2023'!$B$197</f>
        <v>Xây dựng rãnh thoát nước thải khu dân cư tại các thôn Vạt Chanh, Cầu Xi</v>
      </c>
      <c r="C84" s="787"/>
      <c r="D84" s="788"/>
      <c r="E84" s="788" t="s">
        <v>801</v>
      </c>
      <c r="F84" s="788"/>
      <c r="G84" s="800"/>
      <c r="H84" s="789">
        <f>'[70]KH 2023'!$C$197/1000</f>
        <v>1078</v>
      </c>
      <c r="I84" s="788"/>
      <c r="J84" s="788"/>
      <c r="K84" s="788"/>
      <c r="L84" s="788"/>
      <c r="M84" s="788"/>
      <c r="N84" s="788"/>
      <c r="O84" s="788"/>
      <c r="P84" s="788"/>
      <c r="Q84" s="788"/>
      <c r="R84" s="788"/>
      <c r="S84" s="788"/>
      <c r="T84" s="788"/>
      <c r="U84" s="788" t="s">
        <v>818</v>
      </c>
    </row>
    <row r="85" spans="1:28" s="759" customFormat="1" ht="22.5" customHeight="1">
      <c r="A85" s="757" t="s">
        <v>140</v>
      </c>
      <c r="B85" s="775" t="s">
        <v>836</v>
      </c>
      <c r="C85" s="779"/>
      <c r="D85" s="828"/>
      <c r="E85" s="829">
        <f>E86+E93+E103+E118+E126+E172+E229</f>
        <v>64</v>
      </c>
      <c r="F85" s="829"/>
      <c r="G85" s="828"/>
      <c r="H85" s="778">
        <f>H86+H93+H103+H118+H126+H172+H229</f>
        <v>79633</v>
      </c>
      <c r="I85" s="828"/>
      <c r="J85" s="828"/>
      <c r="K85" s="828"/>
      <c r="L85" s="828"/>
      <c r="M85" s="828"/>
      <c r="N85" s="828"/>
      <c r="O85" s="828"/>
      <c r="P85" s="828"/>
      <c r="Q85" s="828"/>
      <c r="R85" s="828"/>
      <c r="S85" s="828"/>
      <c r="T85" s="828"/>
      <c r="U85" s="828"/>
      <c r="W85" s="760"/>
      <c r="X85" s="830"/>
      <c r="Y85" s="830"/>
      <c r="Z85" s="763"/>
      <c r="AA85" s="760"/>
      <c r="AB85" s="760"/>
    </row>
    <row r="86" spans="1:28" s="759" customFormat="1" ht="18" customHeight="1">
      <c r="A86" s="757" t="s">
        <v>66</v>
      </c>
      <c r="B86" s="831" t="s">
        <v>837</v>
      </c>
      <c r="C86" s="779"/>
      <c r="D86" s="828"/>
      <c r="E86" s="829">
        <f>E87+E89+E91</f>
        <v>3</v>
      </c>
      <c r="F86" s="829"/>
      <c r="G86" s="829"/>
      <c r="H86" s="778">
        <f>H87+H89+H91</f>
        <v>3046.3</v>
      </c>
      <c r="I86" s="828"/>
      <c r="J86" s="828">
        <v>2390</v>
      </c>
      <c r="K86" s="828">
        <v>0</v>
      </c>
      <c r="L86" s="828">
        <v>0</v>
      </c>
      <c r="M86" s="828">
        <v>0</v>
      </c>
      <c r="N86" s="828">
        <v>0</v>
      </c>
      <c r="O86" s="828">
        <v>0</v>
      </c>
      <c r="P86" s="828">
        <v>2203</v>
      </c>
      <c r="Q86" s="828">
        <v>0</v>
      </c>
      <c r="R86" s="828">
        <v>187</v>
      </c>
      <c r="S86" s="828">
        <v>0</v>
      </c>
      <c r="T86" s="828">
        <v>0</v>
      </c>
      <c r="U86" s="828"/>
      <c r="W86" s="760"/>
      <c r="X86" s="760"/>
      <c r="Y86" s="760"/>
      <c r="Z86" s="763"/>
      <c r="AA86" s="760"/>
      <c r="AB86" s="760"/>
    </row>
    <row r="87" spans="1:28" s="826" customFormat="1" ht="29.25" customHeight="1">
      <c r="A87" s="860">
        <v>1</v>
      </c>
      <c r="B87" s="861" t="s">
        <v>838</v>
      </c>
      <c r="C87" s="862"/>
      <c r="D87" s="863"/>
      <c r="E87" s="864">
        <v>1</v>
      </c>
      <c r="F87" s="864"/>
      <c r="G87" s="864"/>
      <c r="H87" s="865">
        <f>SUM(H88:H88)</f>
        <v>659</v>
      </c>
      <c r="I87" s="863"/>
      <c r="J87" s="863">
        <v>2390</v>
      </c>
      <c r="K87" s="863">
        <v>0</v>
      </c>
      <c r="L87" s="863">
        <v>0</v>
      </c>
      <c r="M87" s="863">
        <v>0</v>
      </c>
      <c r="N87" s="863">
        <v>0</v>
      </c>
      <c r="O87" s="863">
        <v>0</v>
      </c>
      <c r="P87" s="863">
        <v>2203</v>
      </c>
      <c r="Q87" s="863">
        <v>0</v>
      </c>
      <c r="R87" s="863">
        <v>187</v>
      </c>
      <c r="S87" s="863">
        <v>0</v>
      </c>
      <c r="T87" s="863">
        <v>0</v>
      </c>
      <c r="U87" s="863">
        <v>0</v>
      </c>
      <c r="W87" s="866"/>
      <c r="X87" s="866"/>
      <c r="Y87" s="866"/>
      <c r="Z87" s="867"/>
      <c r="AA87" s="866"/>
      <c r="AB87" s="866"/>
    </row>
    <row r="88" spans="1:28" s="817" customFormat="1" ht="26.25" customHeight="1">
      <c r="A88" s="818" t="s">
        <v>70</v>
      </c>
      <c r="B88" s="827" t="str">
        <f>'[69]KH 2023'!$B$14</f>
        <v>Xây dựng cầu máng thủy lợi Tống Đâu, thôn Bản Phú, xã Thổ Bình</v>
      </c>
      <c r="C88" s="820"/>
      <c r="D88" s="822"/>
      <c r="E88" s="822" t="s">
        <v>801</v>
      </c>
      <c r="F88" s="822"/>
      <c r="G88" s="822"/>
      <c r="H88" s="824">
        <f>'[71]KH 2023'!$C$14</f>
        <v>659</v>
      </c>
      <c r="I88" s="822"/>
      <c r="J88" s="822"/>
      <c r="K88" s="822"/>
      <c r="L88" s="822"/>
      <c r="M88" s="822"/>
      <c r="N88" s="822"/>
      <c r="O88" s="822"/>
      <c r="P88" s="822"/>
      <c r="Q88" s="822"/>
      <c r="R88" s="822"/>
      <c r="S88" s="822"/>
      <c r="T88" s="822"/>
      <c r="U88" s="822"/>
      <c r="V88" s="868"/>
      <c r="W88" s="866"/>
      <c r="X88" s="866"/>
      <c r="Y88" s="866"/>
      <c r="Z88" s="867"/>
      <c r="AA88" s="866"/>
      <c r="AB88" s="866"/>
    </row>
    <row r="89" spans="1:28" s="826" customFormat="1" ht="18" customHeight="1">
      <c r="A89" s="860">
        <v>2</v>
      </c>
      <c r="B89" s="861" t="s">
        <v>272</v>
      </c>
      <c r="C89" s="862"/>
      <c r="D89" s="863"/>
      <c r="E89" s="864">
        <v>1</v>
      </c>
      <c r="F89" s="864"/>
      <c r="G89" s="864"/>
      <c r="H89" s="869">
        <f>H90</f>
        <v>1541.3</v>
      </c>
      <c r="I89" s="863"/>
      <c r="J89" s="863"/>
      <c r="K89" s="863"/>
      <c r="L89" s="863"/>
      <c r="M89" s="863"/>
      <c r="N89" s="863"/>
      <c r="O89" s="863"/>
      <c r="P89" s="863"/>
      <c r="Q89" s="863"/>
      <c r="R89" s="863"/>
      <c r="S89" s="863"/>
      <c r="T89" s="863"/>
      <c r="U89" s="863"/>
      <c r="W89" s="870"/>
      <c r="X89" s="870"/>
      <c r="Y89" s="870"/>
      <c r="Z89" s="871"/>
      <c r="AA89" s="870"/>
      <c r="AB89" s="870"/>
    </row>
    <row r="90" spans="1:28" s="817" customFormat="1" ht="27.75" customHeight="1">
      <c r="A90" s="818"/>
      <c r="B90" s="827" t="s">
        <v>423</v>
      </c>
      <c r="C90" s="820"/>
      <c r="D90" s="822"/>
      <c r="E90" s="822" t="s">
        <v>801</v>
      </c>
      <c r="F90" s="822"/>
      <c r="G90" s="822"/>
      <c r="H90" s="824">
        <v>1541.3</v>
      </c>
      <c r="I90" s="822"/>
      <c r="J90" s="822"/>
      <c r="K90" s="822"/>
      <c r="L90" s="822"/>
      <c r="M90" s="822"/>
      <c r="N90" s="822"/>
      <c r="O90" s="822"/>
      <c r="P90" s="822"/>
      <c r="Q90" s="822"/>
      <c r="R90" s="822"/>
      <c r="S90" s="822"/>
      <c r="T90" s="822"/>
      <c r="U90" s="822"/>
      <c r="W90" s="872"/>
      <c r="X90" s="872"/>
      <c r="Y90" s="872"/>
      <c r="Z90" s="873"/>
      <c r="AA90" s="872"/>
      <c r="AB90" s="872"/>
    </row>
    <row r="91" spans="1:28" s="826" customFormat="1" ht="18" customHeight="1">
      <c r="A91" s="860">
        <v>3</v>
      </c>
      <c r="B91" s="861" t="s">
        <v>839</v>
      </c>
      <c r="C91" s="862"/>
      <c r="D91" s="863"/>
      <c r="E91" s="864">
        <v>1</v>
      </c>
      <c r="F91" s="864"/>
      <c r="G91" s="864"/>
      <c r="H91" s="869">
        <f>H92</f>
        <v>846</v>
      </c>
      <c r="I91" s="863"/>
      <c r="J91" s="863"/>
      <c r="K91" s="863"/>
      <c r="L91" s="863"/>
      <c r="M91" s="863"/>
      <c r="N91" s="863"/>
      <c r="O91" s="863"/>
      <c r="P91" s="863"/>
      <c r="Q91" s="863"/>
      <c r="R91" s="863"/>
      <c r="S91" s="863"/>
      <c r="T91" s="863"/>
      <c r="U91" s="863"/>
      <c r="W91" s="870"/>
      <c r="X91" s="870"/>
      <c r="Y91" s="870"/>
      <c r="Z91" s="871"/>
      <c r="AA91" s="870"/>
      <c r="AB91" s="870"/>
    </row>
    <row r="92" spans="1:28" s="817" customFormat="1" ht="25.5" customHeight="1">
      <c r="A92" s="818"/>
      <c r="B92" s="827" t="s">
        <v>807</v>
      </c>
      <c r="C92" s="820"/>
      <c r="D92" s="822"/>
      <c r="E92" s="822" t="s">
        <v>801</v>
      </c>
      <c r="F92" s="822"/>
      <c r="G92" s="822"/>
      <c r="H92" s="824">
        <v>846</v>
      </c>
      <c r="I92" s="822"/>
      <c r="J92" s="822"/>
      <c r="K92" s="822"/>
      <c r="L92" s="822"/>
      <c r="M92" s="822"/>
      <c r="N92" s="822"/>
      <c r="O92" s="822"/>
      <c r="P92" s="822"/>
      <c r="Q92" s="822"/>
      <c r="R92" s="822"/>
      <c r="S92" s="822"/>
      <c r="T92" s="822"/>
      <c r="U92" s="822"/>
      <c r="W92" s="872"/>
      <c r="X92" s="872"/>
      <c r="Y92" s="872"/>
      <c r="Z92" s="873"/>
      <c r="AA92" s="872"/>
      <c r="AB92" s="872"/>
    </row>
    <row r="93" spans="1:28" s="759" customFormat="1" ht="18.75" customHeight="1">
      <c r="A93" s="757" t="s">
        <v>67</v>
      </c>
      <c r="B93" s="831" t="s">
        <v>135</v>
      </c>
      <c r="C93" s="779">
        <v>4</v>
      </c>
      <c r="D93" s="828">
        <v>4311.0697674418607</v>
      </c>
      <c r="E93" s="829">
        <f>E95+E97+E99+E101</f>
        <v>4</v>
      </c>
      <c r="F93" s="829"/>
      <c r="G93" s="829"/>
      <c r="H93" s="778">
        <f>H95+H97+H99+H101</f>
        <v>4311.1000000000004</v>
      </c>
      <c r="I93" s="828"/>
      <c r="J93" s="828"/>
      <c r="K93" s="828"/>
      <c r="L93" s="828"/>
      <c r="M93" s="828"/>
      <c r="N93" s="828"/>
      <c r="O93" s="828"/>
      <c r="P93" s="828"/>
      <c r="Q93" s="828"/>
      <c r="R93" s="828"/>
      <c r="S93" s="828"/>
      <c r="T93" s="828"/>
      <c r="U93" s="828">
        <v>4311.0697674418607</v>
      </c>
      <c r="W93" s="760"/>
      <c r="X93" s="760"/>
      <c r="Y93" s="760"/>
      <c r="Z93" s="763"/>
      <c r="AA93" s="760"/>
      <c r="AB93" s="760"/>
    </row>
    <row r="94" spans="1:28" s="790" customFormat="1" ht="39.75" hidden="1" customHeight="1">
      <c r="A94" s="785" t="s">
        <v>571</v>
      </c>
      <c r="B94" s="799" t="s">
        <v>840</v>
      </c>
      <c r="C94" s="787"/>
      <c r="D94" s="788">
        <v>4311.0697674418607</v>
      </c>
      <c r="E94" s="788"/>
      <c r="F94" s="788"/>
      <c r="G94" s="788"/>
      <c r="H94" s="789"/>
      <c r="I94" s="788"/>
      <c r="J94" s="788"/>
      <c r="K94" s="788"/>
      <c r="L94" s="788"/>
      <c r="M94" s="788"/>
      <c r="N94" s="788"/>
      <c r="O94" s="788"/>
      <c r="P94" s="788"/>
      <c r="Q94" s="788"/>
      <c r="R94" s="788"/>
      <c r="S94" s="788"/>
      <c r="T94" s="788"/>
      <c r="U94" s="788">
        <v>4311.0697674418607</v>
      </c>
      <c r="W94" s="760"/>
      <c r="X94" s="760"/>
      <c r="Y94" s="760"/>
      <c r="Z94" s="763"/>
      <c r="AA94" s="760"/>
      <c r="AB94" s="760"/>
    </row>
    <row r="95" spans="1:28" s="784" customFormat="1" ht="15.75" customHeight="1">
      <c r="A95" s="791">
        <v>1</v>
      </c>
      <c r="B95" s="812" t="s">
        <v>841</v>
      </c>
      <c r="C95" s="781">
        <v>1078</v>
      </c>
      <c r="D95" s="793" t="s">
        <v>841</v>
      </c>
      <c r="E95" s="832">
        <v>1</v>
      </c>
      <c r="F95" s="832"/>
      <c r="G95" s="832"/>
      <c r="H95" s="783">
        <f>H96</f>
        <v>1078</v>
      </c>
      <c r="I95" s="793"/>
      <c r="J95" s="793"/>
      <c r="K95" s="793"/>
      <c r="L95" s="793"/>
      <c r="M95" s="793"/>
      <c r="N95" s="793"/>
      <c r="O95" s="793"/>
      <c r="P95" s="793"/>
      <c r="Q95" s="793"/>
      <c r="R95" s="793"/>
      <c r="S95" s="793"/>
      <c r="T95" s="793"/>
      <c r="U95" s="793"/>
      <c r="W95" s="796"/>
      <c r="X95" s="796"/>
      <c r="Y95" s="796"/>
      <c r="Z95" s="798"/>
      <c r="AA95" s="796"/>
      <c r="AB95" s="796"/>
    </row>
    <row r="96" spans="1:28" s="790" customFormat="1" ht="30" customHeight="1">
      <c r="A96" s="785" t="s">
        <v>70</v>
      </c>
      <c r="B96" s="799" t="s">
        <v>799</v>
      </c>
      <c r="C96" s="787">
        <v>1078</v>
      </c>
      <c r="D96" s="788" t="s">
        <v>800</v>
      </c>
      <c r="E96" s="788" t="s">
        <v>801</v>
      </c>
      <c r="F96" s="788"/>
      <c r="G96" s="788"/>
      <c r="H96" s="789">
        <v>1078</v>
      </c>
      <c r="I96" s="788"/>
      <c r="J96" s="788"/>
      <c r="K96" s="788"/>
      <c r="L96" s="788"/>
      <c r="M96" s="788"/>
      <c r="N96" s="788"/>
      <c r="O96" s="788"/>
      <c r="P96" s="788"/>
      <c r="Q96" s="788"/>
      <c r="R96" s="788"/>
      <c r="S96" s="788"/>
      <c r="T96" s="788"/>
      <c r="U96" s="788"/>
      <c r="W96" s="760"/>
      <c r="X96" s="760"/>
      <c r="Y96" s="760"/>
      <c r="Z96" s="763"/>
      <c r="AA96" s="760"/>
      <c r="AB96" s="760"/>
    </row>
    <row r="97" spans="1:28" s="784" customFormat="1" ht="15" customHeight="1">
      <c r="A97" s="791">
        <v>2</v>
      </c>
      <c r="B97" s="812" t="s">
        <v>842</v>
      </c>
      <c r="C97" s="781">
        <v>1078</v>
      </c>
      <c r="D97" s="793"/>
      <c r="E97" s="832">
        <v>1</v>
      </c>
      <c r="F97" s="832"/>
      <c r="G97" s="832"/>
      <c r="H97" s="778">
        <f>H98</f>
        <v>1078</v>
      </c>
      <c r="I97" s="793"/>
      <c r="J97" s="793"/>
      <c r="K97" s="793"/>
      <c r="L97" s="793"/>
      <c r="M97" s="793"/>
      <c r="N97" s="793"/>
      <c r="O97" s="793"/>
      <c r="P97" s="793"/>
      <c r="Q97" s="793"/>
      <c r="R97" s="793"/>
      <c r="S97" s="793"/>
      <c r="T97" s="793"/>
      <c r="U97" s="793"/>
      <c r="W97" s="796"/>
      <c r="X97" s="796"/>
      <c r="Y97" s="796"/>
      <c r="Z97" s="798"/>
      <c r="AA97" s="796"/>
      <c r="AB97" s="796"/>
    </row>
    <row r="98" spans="1:28" s="790" customFormat="1" ht="27" customHeight="1">
      <c r="A98" s="785" t="s">
        <v>70</v>
      </c>
      <c r="B98" s="799" t="s">
        <v>802</v>
      </c>
      <c r="C98" s="787">
        <v>1078</v>
      </c>
      <c r="D98" s="788"/>
      <c r="E98" s="788" t="s">
        <v>801</v>
      </c>
      <c r="F98" s="788"/>
      <c r="G98" s="788"/>
      <c r="H98" s="789">
        <v>1078</v>
      </c>
      <c r="I98" s="788"/>
      <c r="J98" s="788"/>
      <c r="K98" s="788"/>
      <c r="L98" s="788"/>
      <c r="M98" s="788"/>
      <c r="N98" s="788"/>
      <c r="O98" s="788"/>
      <c r="P98" s="788"/>
      <c r="Q98" s="788"/>
      <c r="R98" s="788"/>
      <c r="S98" s="788"/>
      <c r="T98" s="788"/>
      <c r="U98" s="788"/>
      <c r="W98" s="760"/>
      <c r="X98" s="760"/>
      <c r="Y98" s="760"/>
      <c r="Z98" s="763"/>
      <c r="AA98" s="760"/>
      <c r="AB98" s="760"/>
    </row>
    <row r="99" spans="1:28" s="826" customFormat="1" ht="14.25" customHeight="1">
      <c r="A99" s="860">
        <v>3</v>
      </c>
      <c r="B99" s="861" t="s">
        <v>843</v>
      </c>
      <c r="C99" s="862">
        <v>1077.0999999999999</v>
      </c>
      <c r="D99" s="863"/>
      <c r="E99" s="864">
        <v>1</v>
      </c>
      <c r="F99" s="864"/>
      <c r="G99" s="864"/>
      <c r="H99" s="869">
        <f>H100</f>
        <v>1077.0999999999999</v>
      </c>
      <c r="I99" s="863"/>
      <c r="J99" s="863"/>
      <c r="K99" s="863"/>
      <c r="L99" s="863"/>
      <c r="M99" s="863"/>
      <c r="N99" s="863"/>
      <c r="O99" s="863"/>
      <c r="P99" s="863"/>
      <c r="Q99" s="863"/>
      <c r="R99" s="863"/>
      <c r="S99" s="863"/>
      <c r="T99" s="863"/>
      <c r="U99" s="863"/>
      <c r="W99" s="870"/>
      <c r="X99" s="870"/>
      <c r="Y99" s="870"/>
      <c r="Z99" s="871"/>
      <c r="AA99" s="870"/>
      <c r="AB99" s="870"/>
    </row>
    <row r="100" spans="1:28" s="817" customFormat="1" ht="15" customHeight="1">
      <c r="A100" s="818" t="s">
        <v>70</v>
      </c>
      <c r="B100" s="827" t="s">
        <v>808</v>
      </c>
      <c r="C100" s="820">
        <v>1077.0999999999999</v>
      </c>
      <c r="D100" s="822"/>
      <c r="E100" s="822" t="s">
        <v>801</v>
      </c>
      <c r="F100" s="822"/>
      <c r="G100" s="822"/>
      <c r="H100" s="824">
        <v>1077.0999999999999</v>
      </c>
      <c r="I100" s="822"/>
      <c r="J100" s="822"/>
      <c r="K100" s="822"/>
      <c r="L100" s="822"/>
      <c r="M100" s="822"/>
      <c r="N100" s="822"/>
      <c r="O100" s="822"/>
      <c r="P100" s="822"/>
      <c r="Q100" s="822"/>
      <c r="R100" s="822"/>
      <c r="S100" s="822"/>
      <c r="T100" s="822"/>
      <c r="U100" s="822"/>
      <c r="W100" s="866"/>
      <c r="X100" s="866"/>
      <c r="Y100" s="866"/>
      <c r="Z100" s="867"/>
      <c r="AA100" s="866"/>
      <c r="AB100" s="866"/>
    </row>
    <row r="101" spans="1:28" s="826" customFormat="1" ht="13.5" customHeight="1">
      <c r="A101" s="860">
        <v>4</v>
      </c>
      <c r="B101" s="861" t="s">
        <v>844</v>
      </c>
      <c r="C101" s="862">
        <v>1078</v>
      </c>
      <c r="D101" s="863"/>
      <c r="E101" s="864">
        <v>1</v>
      </c>
      <c r="F101" s="864"/>
      <c r="G101" s="864"/>
      <c r="H101" s="869">
        <f>H102</f>
        <v>1078</v>
      </c>
      <c r="I101" s="863"/>
      <c r="J101" s="863"/>
      <c r="K101" s="863"/>
      <c r="L101" s="863"/>
      <c r="M101" s="863"/>
      <c r="N101" s="863"/>
      <c r="O101" s="863"/>
      <c r="P101" s="863"/>
      <c r="Q101" s="863"/>
      <c r="R101" s="863"/>
      <c r="S101" s="863"/>
      <c r="T101" s="863"/>
      <c r="U101" s="863"/>
      <c r="W101" s="870"/>
      <c r="X101" s="870"/>
      <c r="Y101" s="870"/>
      <c r="Z101" s="871"/>
      <c r="AA101" s="870"/>
      <c r="AB101" s="870"/>
    </row>
    <row r="102" spans="1:28" s="817" customFormat="1" ht="25.5" customHeight="1">
      <c r="A102" s="818" t="s">
        <v>70</v>
      </c>
      <c r="B102" s="827" t="s">
        <v>809</v>
      </c>
      <c r="C102" s="820">
        <v>1078</v>
      </c>
      <c r="D102" s="822"/>
      <c r="E102" s="822" t="s">
        <v>801</v>
      </c>
      <c r="F102" s="822"/>
      <c r="G102" s="822"/>
      <c r="H102" s="824">
        <v>1078</v>
      </c>
      <c r="I102" s="822"/>
      <c r="J102" s="822"/>
      <c r="K102" s="822"/>
      <c r="L102" s="822"/>
      <c r="M102" s="822"/>
      <c r="N102" s="822"/>
      <c r="O102" s="822"/>
      <c r="P102" s="822"/>
      <c r="Q102" s="822"/>
      <c r="R102" s="822"/>
      <c r="S102" s="822"/>
      <c r="T102" s="822"/>
      <c r="U102" s="822"/>
      <c r="W102" s="866"/>
      <c r="X102" s="866"/>
      <c r="Y102" s="866"/>
      <c r="Z102" s="867"/>
      <c r="AA102" s="866"/>
      <c r="AB102" s="866"/>
    </row>
    <row r="103" spans="1:28" s="759" customFormat="1" ht="20.25" customHeight="1">
      <c r="A103" s="757" t="s">
        <v>80</v>
      </c>
      <c r="B103" s="831" t="s">
        <v>845</v>
      </c>
      <c r="C103" s="779">
        <v>16</v>
      </c>
      <c r="D103" s="828">
        <v>17244.279069767443</v>
      </c>
      <c r="E103" s="829">
        <f>E104+E106+E108+E110+E112+E114+E116</f>
        <v>7</v>
      </c>
      <c r="F103" s="829"/>
      <c r="G103" s="829"/>
      <c r="H103" s="778">
        <f>H104+H106+H108+H110+H112+H114+H116</f>
        <v>7938.3</v>
      </c>
      <c r="I103" s="828"/>
      <c r="J103" s="828">
        <v>19980</v>
      </c>
      <c r="K103" s="828">
        <v>0</v>
      </c>
      <c r="L103" s="828">
        <v>16200</v>
      </c>
      <c r="M103" s="828">
        <v>8145.3</v>
      </c>
      <c r="N103" s="828">
        <v>0</v>
      </c>
      <c r="O103" s="828">
        <v>0</v>
      </c>
      <c r="P103" s="828">
        <v>3071</v>
      </c>
      <c r="Q103" s="828">
        <v>3102</v>
      </c>
      <c r="R103" s="828">
        <v>6204</v>
      </c>
      <c r="S103" s="828">
        <v>0</v>
      </c>
      <c r="T103" s="828">
        <v>15657.7</v>
      </c>
      <c r="U103" s="828"/>
      <c r="W103" s="760"/>
      <c r="X103" s="760"/>
      <c r="Y103" s="760"/>
      <c r="Z103" s="763"/>
      <c r="AA103" s="760"/>
      <c r="AB103" s="760"/>
    </row>
    <row r="104" spans="1:28" s="784" customFormat="1" ht="16.5" customHeight="1">
      <c r="A104" s="780">
        <v>1</v>
      </c>
      <c r="B104" s="833" t="str">
        <f>'[72]Von TW nam 2023'!$B$7</f>
        <v>Xã Nhân Lý</v>
      </c>
      <c r="C104" s="781"/>
      <c r="D104" s="793"/>
      <c r="E104" s="832">
        <v>1</v>
      </c>
      <c r="F104" s="832"/>
      <c r="G104" s="832"/>
      <c r="H104" s="783">
        <f>H105</f>
        <v>500</v>
      </c>
      <c r="I104" s="793"/>
      <c r="J104" s="793"/>
      <c r="K104" s="793"/>
      <c r="L104" s="793"/>
      <c r="M104" s="793"/>
      <c r="N104" s="793"/>
      <c r="O104" s="793"/>
      <c r="P104" s="793"/>
      <c r="Q104" s="793"/>
      <c r="R104" s="793"/>
      <c r="S104" s="793"/>
      <c r="T104" s="793"/>
      <c r="U104" s="793"/>
      <c r="V104" s="795"/>
      <c r="X104" s="796"/>
      <c r="Y104" s="834"/>
    </row>
    <row r="105" spans="1:28" s="817" customFormat="1" ht="16.5" customHeight="1">
      <c r="A105" s="874" t="s">
        <v>70</v>
      </c>
      <c r="B105" s="827" t="str">
        <f>'[72]Von TW nam 2023'!$B$8</f>
        <v>Xây dựng công trình Đập thủy lợi Nà Mu xã Nhân Lý</v>
      </c>
      <c r="C105" s="820"/>
      <c r="D105" s="822"/>
      <c r="E105" s="822" t="s">
        <v>801</v>
      </c>
      <c r="F105" s="822"/>
      <c r="G105" s="822"/>
      <c r="H105" s="824">
        <f>'[72]Von TW nam 2023'!$C$8</f>
        <v>500</v>
      </c>
      <c r="I105" s="822"/>
      <c r="J105" s="822"/>
      <c r="K105" s="822"/>
      <c r="L105" s="822"/>
      <c r="M105" s="822"/>
      <c r="N105" s="822"/>
      <c r="O105" s="822"/>
      <c r="P105" s="822"/>
      <c r="Q105" s="822"/>
      <c r="R105" s="822"/>
      <c r="S105" s="822"/>
      <c r="T105" s="822"/>
      <c r="U105" s="822"/>
      <c r="V105" s="868"/>
      <c r="W105" s="875"/>
      <c r="X105" s="866"/>
      <c r="Y105" s="876"/>
      <c r="Z105" s="875"/>
      <c r="AA105" s="875"/>
      <c r="AB105" s="875"/>
    </row>
    <row r="106" spans="1:28" s="784" customFormat="1" ht="16.5" customHeight="1">
      <c r="A106" s="780">
        <v>2</v>
      </c>
      <c r="B106" s="812" t="s">
        <v>846</v>
      </c>
      <c r="C106" s="781"/>
      <c r="D106" s="793"/>
      <c r="E106" s="832">
        <v>1</v>
      </c>
      <c r="F106" s="832"/>
      <c r="G106" s="832"/>
      <c r="H106" s="783">
        <f>H107</f>
        <v>135</v>
      </c>
      <c r="I106" s="793"/>
      <c r="J106" s="793"/>
      <c r="K106" s="793"/>
      <c r="L106" s="793"/>
      <c r="M106" s="793"/>
      <c r="N106" s="793"/>
      <c r="O106" s="793"/>
      <c r="P106" s="793"/>
      <c r="Q106" s="793"/>
      <c r="R106" s="793"/>
      <c r="S106" s="793"/>
      <c r="T106" s="793"/>
      <c r="U106" s="793"/>
      <c r="V106" s="795"/>
      <c r="X106" s="796"/>
      <c r="Y106" s="834"/>
    </row>
    <row r="107" spans="1:28" s="817" customFormat="1" ht="26.25" customHeight="1">
      <c r="A107" s="874" t="s">
        <v>70</v>
      </c>
      <c r="B107" s="827" t="str">
        <f>'[68]Von TW nam 2023'!$B$10</f>
        <v>Bổ sung vốn xây dựng mới 02 phòng học bộ môn trường THCS Xuân Quang</v>
      </c>
      <c r="C107" s="820"/>
      <c r="D107" s="822"/>
      <c r="E107" s="822" t="s">
        <v>801</v>
      </c>
      <c r="F107" s="822"/>
      <c r="G107" s="822"/>
      <c r="H107" s="824">
        <f>'[68]Von TW nam 2023'!$C$10</f>
        <v>135</v>
      </c>
      <c r="I107" s="818"/>
      <c r="J107" s="822"/>
      <c r="K107" s="822"/>
      <c r="L107" s="822"/>
      <c r="M107" s="822"/>
      <c r="N107" s="822"/>
      <c r="O107" s="822"/>
      <c r="P107" s="822"/>
      <c r="Q107" s="822"/>
      <c r="R107" s="822"/>
      <c r="S107" s="822"/>
      <c r="T107" s="822"/>
      <c r="U107" s="822"/>
      <c r="V107" s="868"/>
      <c r="W107" s="875"/>
      <c r="X107" s="866"/>
      <c r="Y107" s="876"/>
      <c r="Z107" s="875"/>
      <c r="AA107" s="875"/>
      <c r="AB107" s="875"/>
    </row>
    <row r="108" spans="1:28" s="784" customFormat="1" ht="17.25" customHeight="1">
      <c r="A108" s="780">
        <v>3</v>
      </c>
      <c r="B108" s="812" t="s">
        <v>847</v>
      </c>
      <c r="C108" s="781"/>
      <c r="D108" s="793"/>
      <c r="E108" s="832">
        <v>1</v>
      </c>
      <c r="F108" s="832"/>
      <c r="G108" s="832"/>
      <c r="H108" s="783">
        <f>H109</f>
        <v>1100</v>
      </c>
      <c r="I108" s="793"/>
      <c r="J108" s="793"/>
      <c r="K108" s="793"/>
      <c r="L108" s="793"/>
      <c r="M108" s="793"/>
      <c r="N108" s="793"/>
      <c r="O108" s="793"/>
      <c r="P108" s="793"/>
      <c r="Q108" s="793"/>
      <c r="R108" s="793"/>
      <c r="S108" s="793"/>
      <c r="T108" s="793"/>
      <c r="U108" s="793"/>
      <c r="V108" s="795"/>
      <c r="X108" s="796"/>
      <c r="Y108" s="834"/>
    </row>
    <row r="109" spans="1:28" s="817" customFormat="1" ht="17.25" customHeight="1">
      <c r="A109" s="874" t="s">
        <v>70</v>
      </c>
      <c r="B109" s="827" t="s">
        <v>814</v>
      </c>
      <c r="C109" s="820"/>
      <c r="D109" s="822"/>
      <c r="E109" s="822" t="s">
        <v>801</v>
      </c>
      <c r="F109" s="822"/>
      <c r="G109" s="822"/>
      <c r="H109" s="824">
        <f>'[68]Von TW nam 2023'!$C$12</f>
        <v>1100</v>
      </c>
      <c r="I109" s="822"/>
      <c r="J109" s="822"/>
      <c r="K109" s="822"/>
      <c r="L109" s="822"/>
      <c r="M109" s="822"/>
      <c r="N109" s="822"/>
      <c r="O109" s="822"/>
      <c r="P109" s="822"/>
      <c r="Q109" s="822"/>
      <c r="R109" s="822"/>
      <c r="S109" s="822"/>
      <c r="T109" s="822"/>
      <c r="U109" s="822"/>
      <c r="V109" s="868"/>
      <c r="X109" s="872"/>
      <c r="Y109" s="877"/>
    </row>
    <row r="110" spans="1:28" s="784" customFormat="1" ht="17.25" customHeight="1">
      <c r="A110" s="780">
        <v>4</v>
      </c>
      <c r="B110" s="812" t="s">
        <v>848</v>
      </c>
      <c r="C110" s="781"/>
      <c r="D110" s="793"/>
      <c r="E110" s="832">
        <v>1</v>
      </c>
      <c r="F110" s="832"/>
      <c r="G110" s="832"/>
      <c r="H110" s="783">
        <f>H111</f>
        <v>500</v>
      </c>
      <c r="I110" s="793"/>
      <c r="J110" s="793"/>
      <c r="K110" s="793"/>
      <c r="L110" s="793"/>
      <c r="M110" s="793"/>
      <c r="N110" s="793"/>
      <c r="O110" s="793"/>
      <c r="P110" s="793"/>
      <c r="Q110" s="793"/>
      <c r="R110" s="793"/>
      <c r="S110" s="793"/>
      <c r="T110" s="793"/>
      <c r="U110" s="793"/>
      <c r="V110" s="795"/>
      <c r="X110" s="796"/>
      <c r="Y110" s="834"/>
    </row>
    <row r="111" spans="1:28" s="817" customFormat="1" ht="17.25" customHeight="1">
      <c r="A111" s="874" t="s">
        <v>70</v>
      </c>
      <c r="B111" s="827" t="s">
        <v>824</v>
      </c>
      <c r="C111" s="820"/>
      <c r="D111" s="822"/>
      <c r="E111" s="822" t="s">
        <v>801</v>
      </c>
      <c r="F111" s="822"/>
      <c r="G111" s="822"/>
      <c r="H111" s="824">
        <f>'[68]Von TW nam 2023'!$C$14</f>
        <v>500</v>
      </c>
      <c r="I111" s="822"/>
      <c r="J111" s="822"/>
      <c r="K111" s="822"/>
      <c r="L111" s="822"/>
      <c r="M111" s="822"/>
      <c r="N111" s="822"/>
      <c r="O111" s="822"/>
      <c r="P111" s="822"/>
      <c r="Q111" s="822"/>
      <c r="R111" s="822"/>
      <c r="S111" s="822"/>
      <c r="T111" s="822"/>
      <c r="U111" s="822"/>
      <c r="V111" s="868"/>
      <c r="X111" s="872"/>
      <c r="Y111" s="877"/>
    </row>
    <row r="112" spans="1:28" s="784" customFormat="1" ht="27" customHeight="1">
      <c r="A112" s="780">
        <v>5</v>
      </c>
      <c r="B112" s="812" t="s">
        <v>517</v>
      </c>
      <c r="C112" s="781"/>
      <c r="D112" s="793"/>
      <c r="E112" s="832">
        <v>1</v>
      </c>
      <c r="F112" s="832"/>
      <c r="G112" s="832"/>
      <c r="H112" s="783">
        <f>H113</f>
        <v>4503.3</v>
      </c>
      <c r="I112" s="793"/>
      <c r="J112" s="793"/>
      <c r="K112" s="793"/>
      <c r="L112" s="793"/>
      <c r="M112" s="793"/>
      <c r="N112" s="793"/>
      <c r="O112" s="793"/>
      <c r="P112" s="793"/>
      <c r="Q112" s="793"/>
      <c r="R112" s="793"/>
      <c r="S112" s="793"/>
      <c r="T112" s="793"/>
      <c r="U112" s="793"/>
      <c r="V112" s="795"/>
      <c r="X112" s="796"/>
      <c r="Y112" s="834"/>
    </row>
    <row r="113" spans="1:25" s="790" customFormat="1" ht="26.25" customHeight="1">
      <c r="A113" s="802" t="s">
        <v>70</v>
      </c>
      <c r="B113" s="799" t="s">
        <v>479</v>
      </c>
      <c r="C113" s="787"/>
      <c r="D113" s="788"/>
      <c r="E113" s="788" t="s">
        <v>801</v>
      </c>
      <c r="F113" s="788"/>
      <c r="G113" s="788"/>
      <c r="H113" s="789">
        <f>'[68]Von TW nam 2023'!$C$16</f>
        <v>4503.3</v>
      </c>
      <c r="I113" s="788"/>
      <c r="J113" s="788"/>
      <c r="K113" s="788"/>
      <c r="L113" s="788"/>
      <c r="M113" s="788"/>
      <c r="N113" s="788"/>
      <c r="O113" s="788"/>
      <c r="P113" s="788"/>
      <c r="Q113" s="788"/>
      <c r="R113" s="788"/>
      <c r="S113" s="788"/>
      <c r="T113" s="788"/>
      <c r="U113" s="788"/>
      <c r="V113" s="801"/>
      <c r="X113" s="803"/>
      <c r="Y113" s="804"/>
    </row>
    <row r="114" spans="1:25" s="784" customFormat="1" ht="17.25" customHeight="1">
      <c r="A114" s="780">
        <v>6</v>
      </c>
      <c r="B114" s="812" t="s">
        <v>849</v>
      </c>
      <c r="C114" s="781"/>
      <c r="D114" s="793"/>
      <c r="E114" s="832">
        <v>1</v>
      </c>
      <c r="F114" s="832"/>
      <c r="G114" s="832"/>
      <c r="H114" s="783">
        <f>H115</f>
        <v>500</v>
      </c>
      <c r="I114" s="793"/>
      <c r="J114" s="793"/>
      <c r="K114" s="793"/>
      <c r="L114" s="793"/>
      <c r="M114" s="793"/>
      <c r="N114" s="793"/>
      <c r="O114" s="793"/>
      <c r="P114" s="793"/>
      <c r="Q114" s="793"/>
      <c r="R114" s="793"/>
      <c r="S114" s="793"/>
      <c r="T114" s="793"/>
      <c r="U114" s="793"/>
      <c r="V114" s="795"/>
      <c r="X114" s="796"/>
      <c r="Y114" s="834"/>
    </row>
    <row r="115" spans="1:25" s="817" customFormat="1" ht="17.25" customHeight="1">
      <c r="A115" s="874" t="s">
        <v>70</v>
      </c>
      <c r="B115" s="827" t="s">
        <v>812</v>
      </c>
      <c r="C115" s="820"/>
      <c r="D115" s="822"/>
      <c r="E115" s="822" t="s">
        <v>801</v>
      </c>
      <c r="F115" s="822"/>
      <c r="G115" s="822"/>
      <c r="H115" s="824">
        <f>'[68]Von TW nam 2023'!$C$18</f>
        <v>500</v>
      </c>
      <c r="I115" s="822"/>
      <c r="J115" s="822"/>
      <c r="K115" s="822"/>
      <c r="L115" s="822"/>
      <c r="M115" s="822"/>
      <c r="N115" s="822"/>
      <c r="O115" s="822"/>
      <c r="P115" s="822"/>
      <c r="Q115" s="822"/>
      <c r="R115" s="822"/>
      <c r="S115" s="822"/>
      <c r="T115" s="822"/>
      <c r="U115" s="822"/>
      <c r="V115" s="868"/>
      <c r="X115" s="872"/>
      <c r="Y115" s="877"/>
    </row>
    <row r="116" spans="1:25" s="784" customFormat="1" ht="17.25" customHeight="1">
      <c r="A116" s="780">
        <v>7</v>
      </c>
      <c r="B116" s="812" t="s">
        <v>850</v>
      </c>
      <c r="C116" s="781"/>
      <c r="D116" s="793"/>
      <c r="E116" s="832">
        <v>1</v>
      </c>
      <c r="F116" s="832"/>
      <c r="G116" s="832"/>
      <c r="H116" s="783">
        <f>H117</f>
        <v>700</v>
      </c>
      <c r="I116" s="793"/>
      <c r="J116" s="793"/>
      <c r="K116" s="793"/>
      <c r="L116" s="793"/>
      <c r="M116" s="793"/>
      <c r="N116" s="793"/>
      <c r="O116" s="793"/>
      <c r="P116" s="793"/>
      <c r="Q116" s="793"/>
      <c r="R116" s="793"/>
      <c r="S116" s="793"/>
      <c r="T116" s="793"/>
      <c r="U116" s="793"/>
      <c r="V116" s="795"/>
      <c r="X116" s="796"/>
      <c r="Y116" s="834"/>
    </row>
    <row r="117" spans="1:25" s="817" customFormat="1" ht="24" customHeight="1">
      <c r="A117" s="874" t="s">
        <v>70</v>
      </c>
      <c r="B117" s="827" t="s">
        <v>815</v>
      </c>
      <c r="C117" s="820"/>
      <c r="D117" s="822"/>
      <c r="E117" s="822" t="s">
        <v>801</v>
      </c>
      <c r="F117" s="822"/>
      <c r="G117" s="822"/>
      <c r="H117" s="824">
        <f>'[68]Von TW nam 2023'!$C$20</f>
        <v>700</v>
      </c>
      <c r="I117" s="822"/>
      <c r="J117" s="822"/>
      <c r="K117" s="822"/>
      <c r="L117" s="822"/>
      <c r="M117" s="822"/>
      <c r="N117" s="822"/>
      <c r="O117" s="822"/>
      <c r="P117" s="822"/>
      <c r="Q117" s="822"/>
      <c r="R117" s="822"/>
      <c r="S117" s="822"/>
      <c r="T117" s="822"/>
      <c r="U117" s="822"/>
      <c r="V117" s="868"/>
      <c r="X117" s="872"/>
      <c r="Y117" s="877"/>
    </row>
    <row r="118" spans="1:25" s="759" customFormat="1" ht="24" customHeight="1">
      <c r="A118" s="757" t="s">
        <v>82</v>
      </c>
      <c r="B118" s="831" t="s">
        <v>851</v>
      </c>
      <c r="C118" s="779" t="e">
        <v>#REF!</v>
      </c>
      <c r="D118" s="776" t="e">
        <v>#REF!</v>
      </c>
      <c r="E118" s="829">
        <f>E119</f>
        <v>6</v>
      </c>
      <c r="F118" s="829"/>
      <c r="G118" s="829"/>
      <c r="H118" s="778">
        <f>H119</f>
        <v>17025.2</v>
      </c>
      <c r="I118" s="776"/>
      <c r="J118" s="776">
        <v>41000</v>
      </c>
      <c r="K118" s="776">
        <v>22370</v>
      </c>
      <c r="L118" s="776">
        <v>0</v>
      </c>
      <c r="M118" s="776">
        <v>0</v>
      </c>
      <c r="N118" s="776">
        <v>5460</v>
      </c>
      <c r="O118" s="776">
        <v>1794</v>
      </c>
      <c r="P118" s="776">
        <v>5274</v>
      </c>
      <c r="Q118" s="776">
        <v>0</v>
      </c>
      <c r="R118" s="776">
        <v>10564</v>
      </c>
      <c r="S118" s="776">
        <v>3666</v>
      </c>
      <c r="T118" s="776">
        <v>2792</v>
      </c>
      <c r="U118" s="776"/>
    </row>
    <row r="119" spans="1:25" s="826" customFormat="1" ht="18" hidden="1" customHeight="1">
      <c r="A119" s="791"/>
      <c r="B119" s="812" t="s">
        <v>852</v>
      </c>
      <c r="C119" s="781"/>
      <c r="D119" s="782"/>
      <c r="E119" s="832">
        <v>6</v>
      </c>
      <c r="F119" s="832"/>
      <c r="G119" s="832"/>
      <c r="H119" s="783">
        <f>SUM(H120:H125)</f>
        <v>17025.2</v>
      </c>
      <c r="I119" s="782"/>
      <c r="J119" s="782"/>
      <c r="K119" s="782"/>
      <c r="L119" s="782"/>
      <c r="M119" s="782"/>
      <c r="N119" s="782"/>
      <c r="O119" s="782"/>
      <c r="P119" s="782"/>
      <c r="Q119" s="782"/>
      <c r="R119" s="782"/>
      <c r="S119" s="782"/>
      <c r="T119" s="782"/>
      <c r="U119" s="782"/>
    </row>
    <row r="120" spans="1:25" s="817" customFormat="1" ht="18" customHeight="1">
      <c r="A120" s="818" t="s">
        <v>70</v>
      </c>
      <c r="B120" s="819" t="str">
        <f>'[69]huyện NTM'!$B$6</f>
        <v>Xây dựng bể bơi huyện</v>
      </c>
      <c r="C120" s="820"/>
      <c r="D120" s="821"/>
      <c r="E120" s="822" t="s">
        <v>801</v>
      </c>
      <c r="F120" s="822"/>
      <c r="G120" s="822"/>
      <c r="H120" s="824">
        <f>'[69]huyện NTM'!$D$6</f>
        <v>3000</v>
      </c>
      <c r="I120" s="821"/>
      <c r="J120" s="821"/>
      <c r="K120" s="821"/>
      <c r="L120" s="821"/>
      <c r="M120" s="821"/>
      <c r="N120" s="821"/>
      <c r="O120" s="821"/>
      <c r="P120" s="821"/>
      <c r="Q120" s="821"/>
      <c r="R120" s="821"/>
      <c r="S120" s="821"/>
      <c r="T120" s="821"/>
      <c r="U120" s="821"/>
    </row>
    <row r="121" spans="1:25" s="817" customFormat="1" ht="18" customHeight="1">
      <c r="A121" s="818" t="s">
        <v>70</v>
      </c>
      <c r="B121" s="827" t="str">
        <f>'[69]huyện NTM'!$B$7</f>
        <v>Nâng cấp trung tâm Văn hóa - Thể thao huyện đạt chuẩn</v>
      </c>
      <c r="C121" s="820"/>
      <c r="D121" s="821"/>
      <c r="E121" s="822" t="s">
        <v>801</v>
      </c>
      <c r="F121" s="822"/>
      <c r="G121" s="822"/>
      <c r="H121" s="824">
        <f>'[69]huyện NTM'!$D$7</f>
        <v>3000</v>
      </c>
      <c r="I121" s="821"/>
      <c r="J121" s="821"/>
      <c r="K121" s="821"/>
      <c r="L121" s="821"/>
      <c r="M121" s="821"/>
      <c r="N121" s="821"/>
      <c r="O121" s="821"/>
      <c r="P121" s="821"/>
      <c r="Q121" s="821"/>
      <c r="R121" s="821"/>
      <c r="S121" s="821"/>
      <c r="T121" s="821"/>
      <c r="U121" s="821"/>
    </row>
    <row r="122" spans="1:25" s="817" customFormat="1" ht="25.5" customHeight="1">
      <c r="A122" s="818" t="s">
        <v>70</v>
      </c>
      <c r="B122" s="827" t="str">
        <f>'[69]huyện NTM'!$B$8</f>
        <v>Nâng cấp Trung tâm phát thanh của Trung tâm văn hóa Truyền thông và thể thao huyện</v>
      </c>
      <c r="C122" s="820"/>
      <c r="D122" s="821"/>
      <c r="E122" s="822" t="s">
        <v>801</v>
      </c>
      <c r="F122" s="822"/>
      <c r="G122" s="822"/>
      <c r="H122" s="824">
        <f>'[69]huyện NTM'!$D$8</f>
        <v>1000</v>
      </c>
      <c r="I122" s="821"/>
      <c r="J122" s="821"/>
      <c r="K122" s="821"/>
      <c r="L122" s="821"/>
      <c r="M122" s="821"/>
      <c r="N122" s="821"/>
      <c r="O122" s="821"/>
      <c r="P122" s="821"/>
      <c r="Q122" s="821"/>
      <c r="R122" s="821"/>
      <c r="S122" s="821"/>
      <c r="T122" s="821"/>
      <c r="U122" s="821"/>
    </row>
    <row r="123" spans="1:25" s="817" customFormat="1" ht="39.75" customHeight="1">
      <c r="A123" s="818" t="s">
        <v>70</v>
      </c>
      <c r="B123" s="819" t="str">
        <f>'[69]huyện NTM'!$B$9</f>
        <v>Xây dựng phòng học, phòng bộ môn và khối phục vụ học tập, khối hành chính - quản trị; phòng chức năng, nhà đa năng và hạng mục phụ trợ trường THPT Hàm Yên</v>
      </c>
      <c r="C123" s="820"/>
      <c r="D123" s="821"/>
      <c r="E123" s="822" t="s">
        <v>801</v>
      </c>
      <c r="F123" s="822"/>
      <c r="G123" s="822"/>
      <c r="H123" s="824">
        <f>'[69]huyện NTM'!$D$9</f>
        <v>7025.2</v>
      </c>
      <c r="I123" s="821"/>
      <c r="J123" s="821"/>
      <c r="K123" s="821"/>
      <c r="L123" s="821"/>
      <c r="M123" s="821"/>
      <c r="N123" s="821"/>
      <c r="O123" s="821"/>
      <c r="P123" s="821"/>
      <c r="Q123" s="821"/>
      <c r="R123" s="821"/>
      <c r="S123" s="821"/>
      <c r="T123" s="821"/>
      <c r="U123" s="821"/>
    </row>
    <row r="124" spans="1:25" s="817" customFormat="1" ht="18" customHeight="1">
      <c r="A124" s="818" t="s">
        <v>70</v>
      </c>
      <c r="B124" s="819" t="str">
        <f>'[69]huyện NTM'!$B$10</f>
        <v>Nâng cấp chợ trung tâm huyện</v>
      </c>
      <c r="C124" s="820"/>
      <c r="D124" s="821"/>
      <c r="E124" s="822" t="s">
        <v>801</v>
      </c>
      <c r="F124" s="822"/>
      <c r="G124" s="822"/>
      <c r="H124" s="824">
        <f>'[69]huyện NTM'!$D$10</f>
        <v>1500</v>
      </c>
      <c r="I124" s="821"/>
      <c r="J124" s="821"/>
      <c r="K124" s="821"/>
      <c r="L124" s="821"/>
      <c r="M124" s="821"/>
      <c r="N124" s="821"/>
      <c r="O124" s="821"/>
      <c r="P124" s="821"/>
      <c r="Q124" s="821"/>
      <c r="R124" s="821"/>
      <c r="S124" s="821"/>
      <c r="T124" s="821"/>
      <c r="U124" s="821"/>
    </row>
    <row r="125" spans="1:25" s="817" customFormat="1" ht="26.25" customHeight="1">
      <c r="A125" s="818" t="s">
        <v>70</v>
      </c>
      <c r="B125" s="819" t="str">
        <f>'[69]huyện NTM'!$B$11</f>
        <v xml:space="preserve">Xây dựng 01 mô hình tái chế chất thải hữu cơ, phụ phẩm nông nghiệp </v>
      </c>
      <c r="C125" s="820"/>
      <c r="D125" s="821"/>
      <c r="E125" s="822" t="s">
        <v>801</v>
      </c>
      <c r="F125" s="822"/>
      <c r="G125" s="822"/>
      <c r="H125" s="824">
        <f>'[69]huyện NTM'!$D$11</f>
        <v>1500</v>
      </c>
      <c r="I125" s="821"/>
      <c r="J125" s="821"/>
      <c r="K125" s="821"/>
      <c r="L125" s="821"/>
      <c r="M125" s="821"/>
      <c r="N125" s="821"/>
      <c r="O125" s="821"/>
      <c r="P125" s="821"/>
      <c r="Q125" s="821"/>
      <c r="R125" s="821"/>
      <c r="S125" s="821"/>
      <c r="T125" s="821"/>
      <c r="U125" s="821"/>
    </row>
    <row r="126" spans="1:25" s="759" customFormat="1" ht="21" customHeight="1">
      <c r="A126" s="757" t="s">
        <v>87</v>
      </c>
      <c r="B126" s="831" t="s">
        <v>853</v>
      </c>
      <c r="C126" s="779">
        <v>29</v>
      </c>
      <c r="D126" s="828">
        <v>31255.255813953489</v>
      </c>
      <c r="E126" s="829">
        <f>SUM(E127,E153,E158,E162,E165,E168,E170)</f>
        <v>15</v>
      </c>
      <c r="F126" s="829"/>
      <c r="G126" s="829"/>
      <c r="H126" s="772">
        <f>SUM(H127,H153,H158,H162,H165,H168,H170)</f>
        <v>10271.799999999999</v>
      </c>
      <c r="I126" s="828"/>
      <c r="J126" s="828">
        <v>46400</v>
      </c>
      <c r="K126" s="828">
        <v>26510</v>
      </c>
      <c r="L126" s="828">
        <v>0</v>
      </c>
      <c r="M126" s="828">
        <v>0</v>
      </c>
      <c r="N126" s="828">
        <v>14402.5</v>
      </c>
      <c r="O126" s="828">
        <v>7517.2999999999993</v>
      </c>
      <c r="P126" s="828">
        <v>6141.9721835883165</v>
      </c>
      <c r="Q126" s="828">
        <v>0</v>
      </c>
      <c r="R126" s="828">
        <v>10714.227816411683</v>
      </c>
      <c r="S126" s="828">
        <v>6885.2</v>
      </c>
      <c r="T126" s="828">
        <v>3033.8</v>
      </c>
      <c r="U126" s="828"/>
    </row>
    <row r="127" spans="1:25" s="784" customFormat="1" ht="17.25" customHeight="1">
      <c r="A127" s="791">
        <v>1</v>
      </c>
      <c r="B127" s="812" t="s">
        <v>854</v>
      </c>
      <c r="C127" s="781"/>
      <c r="D127" s="793"/>
      <c r="E127" s="832">
        <v>2</v>
      </c>
      <c r="F127" s="832"/>
      <c r="G127" s="832"/>
      <c r="H127" s="783">
        <f>SUM(H128:H152)</f>
        <v>1000</v>
      </c>
      <c r="I127" s="793"/>
      <c r="J127" s="793">
        <v>3200</v>
      </c>
      <c r="K127" s="793">
        <v>1600</v>
      </c>
      <c r="L127" s="793">
        <v>0</v>
      </c>
      <c r="M127" s="793">
        <v>0</v>
      </c>
      <c r="N127" s="793">
        <v>0</v>
      </c>
      <c r="O127" s="793">
        <v>0</v>
      </c>
      <c r="P127" s="793">
        <v>868</v>
      </c>
      <c r="Q127" s="793">
        <v>0</v>
      </c>
      <c r="R127" s="793">
        <v>732</v>
      </c>
      <c r="S127" s="793">
        <v>0</v>
      </c>
      <c r="T127" s="793">
        <v>0</v>
      </c>
      <c r="U127" s="793"/>
    </row>
    <row r="128" spans="1:25" s="790" customFormat="1" ht="25.5" hidden="1" customHeight="1">
      <c r="A128" s="806" t="s">
        <v>70</v>
      </c>
      <c r="B128" s="807"/>
      <c r="C128" s="808"/>
      <c r="D128" s="809"/>
      <c r="E128" s="809"/>
      <c r="F128" s="809"/>
      <c r="G128" s="809"/>
      <c r="H128" s="810"/>
      <c r="I128" s="809"/>
      <c r="J128" s="809"/>
      <c r="K128" s="809"/>
      <c r="L128" s="809"/>
      <c r="M128" s="809"/>
      <c r="N128" s="809"/>
      <c r="O128" s="809"/>
      <c r="P128" s="809"/>
      <c r="Q128" s="809"/>
      <c r="R128" s="809"/>
      <c r="S128" s="809"/>
      <c r="T128" s="809"/>
      <c r="U128" s="809"/>
    </row>
    <row r="129" spans="1:21" s="790" customFormat="1" ht="25.5" hidden="1" customHeight="1">
      <c r="A129" s="806" t="s">
        <v>70</v>
      </c>
      <c r="B129" s="807"/>
      <c r="C129" s="808"/>
      <c r="D129" s="809"/>
      <c r="E129" s="809"/>
      <c r="F129" s="809"/>
      <c r="G129" s="809"/>
      <c r="H129" s="810"/>
      <c r="I129" s="809"/>
      <c r="J129" s="809"/>
      <c r="K129" s="809"/>
      <c r="L129" s="809"/>
      <c r="M129" s="809"/>
      <c r="N129" s="809"/>
      <c r="O129" s="809"/>
      <c r="P129" s="809"/>
      <c r="Q129" s="809"/>
      <c r="R129" s="809"/>
      <c r="S129" s="809"/>
      <c r="T129" s="809"/>
      <c r="U129" s="809"/>
    </row>
    <row r="130" spans="1:21" s="790" customFormat="1" ht="25.5" hidden="1" customHeight="1">
      <c r="A130" s="806" t="s">
        <v>70</v>
      </c>
      <c r="B130" s="807"/>
      <c r="C130" s="808"/>
      <c r="D130" s="809"/>
      <c r="E130" s="809"/>
      <c r="F130" s="809"/>
      <c r="G130" s="809"/>
      <c r="H130" s="810"/>
      <c r="I130" s="809"/>
      <c r="J130" s="809"/>
      <c r="K130" s="809"/>
      <c r="L130" s="809"/>
      <c r="M130" s="809"/>
      <c r="N130" s="809"/>
      <c r="O130" s="809"/>
      <c r="P130" s="809"/>
      <c r="Q130" s="809"/>
      <c r="R130" s="809"/>
      <c r="S130" s="809"/>
      <c r="T130" s="809"/>
      <c r="U130" s="809"/>
    </row>
    <row r="131" spans="1:21" s="790" customFormat="1" ht="25.5" hidden="1" customHeight="1">
      <c r="A131" s="806" t="s">
        <v>70</v>
      </c>
      <c r="B131" s="807"/>
      <c r="C131" s="808"/>
      <c r="D131" s="809"/>
      <c r="E131" s="809"/>
      <c r="F131" s="809"/>
      <c r="G131" s="809"/>
      <c r="H131" s="810"/>
      <c r="I131" s="809"/>
      <c r="J131" s="809"/>
      <c r="K131" s="809"/>
      <c r="L131" s="809"/>
      <c r="M131" s="809"/>
      <c r="N131" s="809"/>
      <c r="O131" s="809"/>
      <c r="P131" s="809"/>
      <c r="Q131" s="809"/>
      <c r="R131" s="809"/>
      <c r="S131" s="809"/>
      <c r="T131" s="809"/>
      <c r="U131" s="809"/>
    </row>
    <row r="132" spans="1:21" s="790" customFormat="1" hidden="1">
      <c r="A132" s="806" t="s">
        <v>70</v>
      </c>
      <c r="B132" s="807"/>
      <c r="C132" s="808"/>
      <c r="D132" s="809"/>
      <c r="E132" s="809"/>
      <c r="F132" s="809"/>
      <c r="G132" s="809"/>
      <c r="H132" s="810"/>
      <c r="I132" s="809"/>
      <c r="J132" s="809"/>
      <c r="K132" s="809"/>
      <c r="L132" s="809"/>
      <c r="M132" s="809"/>
      <c r="N132" s="809"/>
      <c r="O132" s="809"/>
      <c r="P132" s="809"/>
      <c r="Q132" s="809"/>
      <c r="R132" s="809"/>
      <c r="S132" s="809"/>
      <c r="T132" s="809"/>
      <c r="U132" s="809"/>
    </row>
    <row r="133" spans="1:21" s="790" customFormat="1" hidden="1">
      <c r="A133" s="806" t="s">
        <v>70</v>
      </c>
      <c r="B133" s="807"/>
      <c r="C133" s="808"/>
      <c r="D133" s="809"/>
      <c r="E133" s="809"/>
      <c r="F133" s="809"/>
      <c r="G133" s="809"/>
      <c r="H133" s="810"/>
      <c r="I133" s="809"/>
      <c r="J133" s="809"/>
      <c r="K133" s="809"/>
      <c r="L133" s="809"/>
      <c r="M133" s="809"/>
      <c r="N133" s="809"/>
      <c r="O133" s="809"/>
      <c r="P133" s="809"/>
      <c r="Q133" s="809"/>
      <c r="R133" s="809"/>
      <c r="S133" s="809"/>
      <c r="T133" s="809"/>
      <c r="U133" s="809"/>
    </row>
    <row r="134" spans="1:21" s="790" customFormat="1" hidden="1">
      <c r="A134" s="806" t="s">
        <v>70</v>
      </c>
      <c r="B134" s="807"/>
      <c r="C134" s="808"/>
      <c r="D134" s="809"/>
      <c r="E134" s="809"/>
      <c r="F134" s="809"/>
      <c r="G134" s="809"/>
      <c r="H134" s="810"/>
      <c r="I134" s="809"/>
      <c r="J134" s="809"/>
      <c r="K134" s="809"/>
      <c r="L134" s="809"/>
      <c r="M134" s="809"/>
      <c r="N134" s="809"/>
      <c r="O134" s="809"/>
      <c r="P134" s="809"/>
      <c r="Q134" s="809"/>
      <c r="R134" s="809"/>
      <c r="S134" s="809"/>
      <c r="T134" s="809"/>
      <c r="U134" s="809"/>
    </row>
    <row r="135" spans="1:21" s="790" customFormat="1" hidden="1">
      <c r="A135" s="806" t="s">
        <v>70</v>
      </c>
      <c r="B135" s="807"/>
      <c r="C135" s="808"/>
      <c r="D135" s="809"/>
      <c r="E135" s="809"/>
      <c r="F135" s="809"/>
      <c r="G135" s="809"/>
      <c r="H135" s="810"/>
      <c r="I135" s="809"/>
      <c r="J135" s="809"/>
      <c r="K135" s="809"/>
      <c r="L135" s="809"/>
      <c r="M135" s="809"/>
      <c r="N135" s="809"/>
      <c r="O135" s="809"/>
      <c r="P135" s="809"/>
      <c r="Q135" s="809"/>
      <c r="R135" s="809"/>
      <c r="S135" s="809"/>
      <c r="T135" s="809"/>
      <c r="U135" s="809"/>
    </row>
    <row r="136" spans="1:21" s="790" customFormat="1" hidden="1">
      <c r="A136" s="806" t="s">
        <v>70</v>
      </c>
      <c r="B136" s="807"/>
      <c r="C136" s="808"/>
      <c r="D136" s="809"/>
      <c r="E136" s="809"/>
      <c r="F136" s="809"/>
      <c r="G136" s="809"/>
      <c r="H136" s="810"/>
      <c r="I136" s="809"/>
      <c r="J136" s="809"/>
      <c r="K136" s="809"/>
      <c r="L136" s="809"/>
      <c r="M136" s="809"/>
      <c r="N136" s="809"/>
      <c r="O136" s="809"/>
      <c r="P136" s="809"/>
      <c r="Q136" s="809"/>
      <c r="R136" s="809"/>
      <c r="S136" s="809"/>
      <c r="T136" s="809"/>
      <c r="U136" s="809"/>
    </row>
    <row r="137" spans="1:21" s="790" customFormat="1" hidden="1">
      <c r="A137" s="806" t="s">
        <v>70</v>
      </c>
      <c r="B137" s="807"/>
      <c r="C137" s="808"/>
      <c r="D137" s="809"/>
      <c r="E137" s="809"/>
      <c r="F137" s="809"/>
      <c r="G137" s="809"/>
      <c r="H137" s="810"/>
      <c r="I137" s="809"/>
      <c r="J137" s="809"/>
      <c r="K137" s="809"/>
      <c r="L137" s="809"/>
      <c r="M137" s="809"/>
      <c r="N137" s="809"/>
      <c r="O137" s="809"/>
      <c r="P137" s="809"/>
      <c r="Q137" s="809"/>
      <c r="R137" s="809"/>
      <c r="S137" s="809"/>
      <c r="T137" s="809"/>
      <c r="U137" s="809"/>
    </row>
    <row r="138" spans="1:21" s="790" customFormat="1" hidden="1">
      <c r="A138" s="806" t="s">
        <v>70</v>
      </c>
      <c r="B138" s="807"/>
      <c r="C138" s="808"/>
      <c r="D138" s="809"/>
      <c r="E138" s="809"/>
      <c r="F138" s="809"/>
      <c r="G138" s="809"/>
      <c r="H138" s="810"/>
      <c r="I138" s="809"/>
      <c r="J138" s="809"/>
      <c r="K138" s="809"/>
      <c r="L138" s="809"/>
      <c r="M138" s="809"/>
      <c r="N138" s="809"/>
      <c r="O138" s="809"/>
      <c r="P138" s="809"/>
      <c r="Q138" s="809"/>
      <c r="R138" s="809"/>
      <c r="S138" s="809"/>
      <c r="T138" s="809"/>
      <c r="U138" s="809"/>
    </row>
    <row r="139" spans="1:21" s="790" customFormat="1" hidden="1">
      <c r="A139" s="806" t="s">
        <v>70</v>
      </c>
      <c r="B139" s="807"/>
      <c r="C139" s="808"/>
      <c r="D139" s="809"/>
      <c r="E139" s="809"/>
      <c r="F139" s="809"/>
      <c r="G139" s="809"/>
      <c r="H139" s="810"/>
      <c r="I139" s="809"/>
      <c r="J139" s="809"/>
      <c r="K139" s="809"/>
      <c r="L139" s="809"/>
      <c r="M139" s="809"/>
      <c r="N139" s="809"/>
      <c r="O139" s="809"/>
      <c r="P139" s="809"/>
      <c r="Q139" s="809"/>
      <c r="R139" s="809"/>
      <c r="S139" s="809"/>
      <c r="T139" s="809"/>
      <c r="U139" s="809"/>
    </row>
    <row r="140" spans="1:21" s="790" customFormat="1" hidden="1">
      <c r="A140" s="806" t="s">
        <v>70</v>
      </c>
      <c r="B140" s="807"/>
      <c r="C140" s="808"/>
      <c r="D140" s="809"/>
      <c r="E140" s="809"/>
      <c r="F140" s="809"/>
      <c r="G140" s="809"/>
      <c r="H140" s="810"/>
      <c r="I140" s="809"/>
      <c r="J140" s="809"/>
      <c r="K140" s="809"/>
      <c r="L140" s="809"/>
      <c r="M140" s="809"/>
      <c r="N140" s="809"/>
      <c r="O140" s="809"/>
      <c r="P140" s="809"/>
      <c r="Q140" s="809"/>
      <c r="R140" s="809"/>
      <c r="S140" s="809"/>
      <c r="T140" s="809"/>
      <c r="U140" s="809"/>
    </row>
    <row r="141" spans="1:21" s="790" customFormat="1" hidden="1">
      <c r="A141" s="806" t="s">
        <v>70</v>
      </c>
      <c r="B141" s="807"/>
      <c r="C141" s="808"/>
      <c r="D141" s="809"/>
      <c r="E141" s="809"/>
      <c r="F141" s="809"/>
      <c r="G141" s="809"/>
      <c r="H141" s="810"/>
      <c r="I141" s="809"/>
      <c r="J141" s="809"/>
      <c r="K141" s="809"/>
      <c r="L141" s="809"/>
      <c r="M141" s="809"/>
      <c r="N141" s="809"/>
      <c r="O141" s="809"/>
      <c r="P141" s="809"/>
      <c r="Q141" s="809"/>
      <c r="R141" s="809"/>
      <c r="S141" s="809"/>
      <c r="T141" s="809"/>
      <c r="U141" s="809"/>
    </row>
    <row r="142" spans="1:21" s="790" customFormat="1" hidden="1">
      <c r="A142" s="806" t="s">
        <v>70</v>
      </c>
      <c r="B142" s="807"/>
      <c r="C142" s="808"/>
      <c r="D142" s="809"/>
      <c r="E142" s="809"/>
      <c r="F142" s="809"/>
      <c r="G142" s="809"/>
      <c r="H142" s="810"/>
      <c r="I142" s="809"/>
      <c r="J142" s="809"/>
      <c r="K142" s="809"/>
      <c r="L142" s="809"/>
      <c r="M142" s="809"/>
      <c r="N142" s="809"/>
      <c r="O142" s="809"/>
      <c r="P142" s="809"/>
      <c r="Q142" s="809"/>
      <c r="R142" s="809"/>
      <c r="S142" s="809"/>
      <c r="T142" s="809"/>
      <c r="U142" s="809"/>
    </row>
    <row r="143" spans="1:21" s="790" customFormat="1" hidden="1">
      <c r="A143" s="806" t="s">
        <v>70</v>
      </c>
      <c r="B143" s="807"/>
      <c r="C143" s="808"/>
      <c r="D143" s="809"/>
      <c r="E143" s="809"/>
      <c r="F143" s="809"/>
      <c r="G143" s="809"/>
      <c r="H143" s="810"/>
      <c r="I143" s="809"/>
      <c r="J143" s="809"/>
      <c r="K143" s="809"/>
      <c r="L143" s="809"/>
      <c r="M143" s="809"/>
      <c r="N143" s="809"/>
      <c r="O143" s="809"/>
      <c r="P143" s="809"/>
      <c r="Q143" s="809"/>
      <c r="R143" s="809"/>
      <c r="S143" s="809"/>
      <c r="T143" s="809"/>
      <c r="U143" s="809"/>
    </row>
    <row r="144" spans="1:21" s="790" customFormat="1" hidden="1">
      <c r="A144" s="806" t="s">
        <v>70</v>
      </c>
      <c r="B144" s="807"/>
      <c r="C144" s="808"/>
      <c r="D144" s="809"/>
      <c r="E144" s="809"/>
      <c r="F144" s="809"/>
      <c r="G144" s="809"/>
      <c r="H144" s="810"/>
      <c r="I144" s="809"/>
      <c r="J144" s="809"/>
      <c r="K144" s="809"/>
      <c r="L144" s="809"/>
      <c r="M144" s="809"/>
      <c r="N144" s="809"/>
      <c r="O144" s="809"/>
      <c r="P144" s="809"/>
      <c r="Q144" s="809"/>
      <c r="R144" s="809"/>
      <c r="S144" s="809"/>
      <c r="T144" s="809"/>
      <c r="U144" s="809"/>
    </row>
    <row r="145" spans="1:22" s="790" customFormat="1" hidden="1">
      <c r="A145" s="806" t="s">
        <v>70</v>
      </c>
      <c r="B145" s="807"/>
      <c r="C145" s="808"/>
      <c r="D145" s="809"/>
      <c r="E145" s="809"/>
      <c r="F145" s="809"/>
      <c r="G145" s="809"/>
      <c r="H145" s="810"/>
      <c r="I145" s="809"/>
      <c r="J145" s="809"/>
      <c r="K145" s="809"/>
      <c r="L145" s="809"/>
      <c r="M145" s="809"/>
      <c r="N145" s="809"/>
      <c r="O145" s="809"/>
      <c r="P145" s="809"/>
      <c r="Q145" s="809"/>
      <c r="R145" s="809"/>
      <c r="S145" s="809"/>
      <c r="T145" s="809"/>
      <c r="U145" s="809"/>
    </row>
    <row r="146" spans="1:22" s="790" customFormat="1" hidden="1">
      <c r="A146" s="806" t="s">
        <v>70</v>
      </c>
      <c r="B146" s="807"/>
      <c r="C146" s="808"/>
      <c r="D146" s="809"/>
      <c r="E146" s="809"/>
      <c r="F146" s="809"/>
      <c r="G146" s="809"/>
      <c r="H146" s="810"/>
      <c r="I146" s="809"/>
      <c r="J146" s="809"/>
      <c r="K146" s="809"/>
      <c r="L146" s="809"/>
      <c r="M146" s="809"/>
      <c r="N146" s="809"/>
      <c r="O146" s="809"/>
      <c r="P146" s="809"/>
      <c r="Q146" s="809"/>
      <c r="R146" s="809"/>
      <c r="S146" s="809"/>
      <c r="T146" s="809"/>
      <c r="U146" s="809"/>
    </row>
    <row r="147" spans="1:22" s="790" customFormat="1" hidden="1">
      <c r="A147" s="806" t="s">
        <v>70</v>
      </c>
      <c r="B147" s="807"/>
      <c r="C147" s="808"/>
      <c r="D147" s="809"/>
      <c r="E147" s="809"/>
      <c r="F147" s="809"/>
      <c r="G147" s="809"/>
      <c r="H147" s="810"/>
      <c r="I147" s="809"/>
      <c r="J147" s="809"/>
      <c r="K147" s="809"/>
      <c r="L147" s="809"/>
      <c r="M147" s="809"/>
      <c r="N147" s="809"/>
      <c r="O147" s="809"/>
      <c r="P147" s="809"/>
      <c r="Q147" s="809"/>
      <c r="R147" s="809"/>
      <c r="S147" s="809"/>
      <c r="T147" s="809"/>
      <c r="U147" s="809"/>
    </row>
    <row r="148" spans="1:22" s="790" customFormat="1" hidden="1">
      <c r="A148" s="806" t="s">
        <v>70</v>
      </c>
      <c r="B148" s="807"/>
      <c r="C148" s="808"/>
      <c r="D148" s="809"/>
      <c r="E148" s="809"/>
      <c r="F148" s="809"/>
      <c r="G148" s="809"/>
      <c r="H148" s="810"/>
      <c r="I148" s="809"/>
      <c r="J148" s="809"/>
      <c r="K148" s="809"/>
      <c r="L148" s="809"/>
      <c r="M148" s="809"/>
      <c r="N148" s="809"/>
      <c r="O148" s="809"/>
      <c r="P148" s="809"/>
      <c r="Q148" s="809"/>
      <c r="R148" s="809"/>
      <c r="S148" s="809"/>
      <c r="T148" s="809"/>
      <c r="U148" s="809"/>
    </row>
    <row r="149" spans="1:22" s="790" customFormat="1" hidden="1">
      <c r="A149" s="806" t="s">
        <v>70</v>
      </c>
      <c r="B149" s="807"/>
      <c r="C149" s="808"/>
      <c r="D149" s="809"/>
      <c r="E149" s="809"/>
      <c r="F149" s="809"/>
      <c r="G149" s="809"/>
      <c r="H149" s="810"/>
      <c r="I149" s="809"/>
      <c r="J149" s="809"/>
      <c r="K149" s="809"/>
      <c r="L149" s="809"/>
      <c r="M149" s="809"/>
      <c r="N149" s="809"/>
      <c r="O149" s="809"/>
      <c r="P149" s="809"/>
      <c r="Q149" s="809"/>
      <c r="R149" s="809"/>
      <c r="S149" s="809"/>
      <c r="T149" s="809"/>
      <c r="U149" s="809"/>
    </row>
    <row r="150" spans="1:22" s="790" customFormat="1" hidden="1">
      <c r="A150" s="806" t="s">
        <v>70</v>
      </c>
      <c r="B150" s="807"/>
      <c r="C150" s="808"/>
      <c r="D150" s="809"/>
      <c r="E150" s="809"/>
      <c r="F150" s="809"/>
      <c r="G150" s="809"/>
      <c r="H150" s="810"/>
      <c r="I150" s="809"/>
      <c r="J150" s="809"/>
      <c r="K150" s="809"/>
      <c r="L150" s="809"/>
      <c r="M150" s="809"/>
      <c r="N150" s="809"/>
      <c r="O150" s="809"/>
      <c r="P150" s="809"/>
      <c r="Q150" s="809"/>
      <c r="R150" s="809"/>
      <c r="S150" s="809"/>
      <c r="T150" s="809"/>
      <c r="U150" s="809"/>
    </row>
    <row r="151" spans="1:22" s="817" customFormat="1" ht="31.5" customHeight="1">
      <c r="A151" s="818" t="s">
        <v>70</v>
      </c>
      <c r="B151" s="827" t="s">
        <v>817</v>
      </c>
      <c r="C151" s="820"/>
      <c r="D151" s="822"/>
      <c r="E151" s="822" t="s">
        <v>801</v>
      </c>
      <c r="F151" s="822"/>
      <c r="G151" s="822"/>
      <c r="H151" s="824">
        <f>'[69]Sheet1 (2)'!$F$23</f>
        <v>300</v>
      </c>
      <c r="I151" s="822"/>
      <c r="J151" s="822"/>
      <c r="K151" s="822"/>
      <c r="L151" s="822"/>
      <c r="M151" s="822"/>
      <c r="N151" s="822"/>
      <c r="O151" s="822"/>
      <c r="P151" s="822"/>
      <c r="Q151" s="822"/>
      <c r="R151" s="822"/>
      <c r="S151" s="822"/>
      <c r="T151" s="822"/>
      <c r="U151" s="822"/>
    </row>
    <row r="152" spans="1:22" s="805" customFormat="1" ht="18.75" customHeight="1">
      <c r="A152" s="785" t="s">
        <v>70</v>
      </c>
      <c r="B152" s="799" t="str">
        <f>'[69]KH 2021-2022'!$B$17</f>
        <v>Xây dựng cầu tràn liên hợp thôn 7, xã Thái Bình</v>
      </c>
      <c r="C152" s="787"/>
      <c r="D152" s="788"/>
      <c r="E152" s="788" t="s">
        <v>801</v>
      </c>
      <c r="F152" s="788"/>
      <c r="G152" s="788"/>
      <c r="H152" s="789">
        <f>'[69]Sheet1 (2)'!$F$24</f>
        <v>700</v>
      </c>
      <c r="I152" s="788"/>
      <c r="J152" s="788"/>
      <c r="K152" s="788"/>
      <c r="L152" s="788"/>
      <c r="M152" s="788"/>
      <c r="N152" s="788"/>
      <c r="O152" s="788"/>
      <c r="P152" s="788"/>
      <c r="Q152" s="788"/>
      <c r="R152" s="788"/>
      <c r="S152" s="788"/>
      <c r="T152" s="788"/>
      <c r="U152" s="788"/>
    </row>
    <row r="153" spans="1:22" s="784" customFormat="1" ht="29.25" customHeight="1">
      <c r="A153" s="835">
        <v>2</v>
      </c>
      <c r="B153" s="836" t="s">
        <v>855</v>
      </c>
      <c r="C153" s="837"/>
      <c r="D153" s="838"/>
      <c r="E153" s="839">
        <v>4</v>
      </c>
      <c r="F153" s="839"/>
      <c r="G153" s="839"/>
      <c r="H153" s="840">
        <f>SUM(H154:H157)</f>
        <v>3825.8</v>
      </c>
      <c r="I153" s="838"/>
      <c r="J153" s="838"/>
      <c r="K153" s="838"/>
      <c r="L153" s="838"/>
      <c r="M153" s="838"/>
      <c r="N153" s="838"/>
      <c r="O153" s="838"/>
      <c r="P153" s="838"/>
      <c r="Q153" s="838"/>
      <c r="R153" s="838"/>
      <c r="S153" s="838"/>
      <c r="T153" s="838"/>
      <c r="U153" s="838"/>
      <c r="V153" s="795"/>
    </row>
    <row r="154" spans="1:22" s="790" customFormat="1" ht="33" customHeight="1">
      <c r="A154" s="806" t="s">
        <v>70</v>
      </c>
      <c r="B154" s="807" t="str">
        <f>'[69]KH 2021-2022'!$B$10</f>
        <v>Xây dựng đường trục xã đoạn từ thôn Vàng Lè sang thôn Đán Khao, xã Chiêu Yên</v>
      </c>
      <c r="C154" s="808"/>
      <c r="D154" s="809"/>
      <c r="E154" s="788" t="s">
        <v>801</v>
      </c>
      <c r="F154" s="788"/>
      <c r="G154" s="788"/>
      <c r="H154" s="810">
        <f>'[69]Sheet1 (2)'!$F$35</f>
        <v>1500</v>
      </c>
      <c r="I154" s="811"/>
      <c r="J154" s="809"/>
      <c r="K154" s="809"/>
      <c r="L154" s="809"/>
      <c r="M154" s="809"/>
      <c r="N154" s="809"/>
      <c r="O154" s="809"/>
      <c r="P154" s="809"/>
      <c r="Q154" s="809"/>
      <c r="R154" s="809"/>
      <c r="S154" s="809"/>
      <c r="T154" s="809"/>
      <c r="U154" s="809"/>
      <c r="V154" s="801"/>
    </row>
    <row r="155" spans="1:22" s="790" customFormat="1" ht="29.25" customHeight="1">
      <c r="A155" s="806" t="s">
        <v>70</v>
      </c>
      <c r="B155" s="807" t="str">
        <f>'[69]KH 2021-2022'!$B$11</f>
        <v xml:space="preserve">Xây dựng hóa đường trục xã đoạn từ thôn Cây Chanh, xã Chiêu Yên </v>
      </c>
      <c r="C155" s="808"/>
      <c r="D155" s="809"/>
      <c r="E155" s="788" t="s">
        <v>801</v>
      </c>
      <c r="F155" s="788"/>
      <c r="G155" s="788"/>
      <c r="H155" s="810">
        <f>'[69]Sheet1 (2)'!$F$36</f>
        <v>625.79999999999995</v>
      </c>
      <c r="I155" s="811"/>
      <c r="J155" s="809"/>
      <c r="K155" s="809"/>
      <c r="L155" s="809"/>
      <c r="M155" s="809"/>
      <c r="N155" s="809"/>
      <c r="O155" s="809"/>
      <c r="P155" s="809"/>
      <c r="Q155" s="809"/>
      <c r="R155" s="809"/>
      <c r="S155" s="809"/>
      <c r="T155" s="809"/>
      <c r="U155" s="809"/>
      <c r="V155" s="801"/>
    </row>
    <row r="156" spans="1:22" s="790" customFormat="1" ht="20.25" customHeight="1">
      <c r="A156" s="806" t="s">
        <v>70</v>
      </c>
      <c r="B156" s="807" t="str">
        <f>'[69]Sheet1 (2)'!$G$37</f>
        <v>Xât dựng đường trục xã thôn Nam Thắng, xã Chiêu Yên</v>
      </c>
      <c r="C156" s="808"/>
      <c r="D156" s="809"/>
      <c r="E156" s="788" t="s">
        <v>801</v>
      </c>
      <c r="F156" s="788"/>
      <c r="G156" s="788"/>
      <c r="H156" s="810">
        <f>'[69]Sheet1 (2)'!$F$37</f>
        <v>600</v>
      </c>
      <c r="I156" s="811"/>
      <c r="J156" s="809"/>
      <c r="K156" s="809"/>
      <c r="L156" s="809"/>
      <c r="M156" s="809"/>
      <c r="N156" s="809"/>
      <c r="O156" s="809"/>
      <c r="P156" s="809"/>
      <c r="Q156" s="809"/>
      <c r="R156" s="809"/>
      <c r="S156" s="809"/>
      <c r="T156" s="809"/>
      <c r="U156" s="809"/>
      <c r="V156" s="801"/>
    </row>
    <row r="157" spans="1:22" s="790" customFormat="1" ht="27.75" customHeight="1">
      <c r="A157" s="806" t="s">
        <v>70</v>
      </c>
      <c r="B157" s="807" t="str">
        <f>'[69]Sheet1 (2)'!$G$38</f>
        <v>Xây dựng đường trục xã thôn Đồng Dày đi Vắt Cày, xã Chiêu Yên</v>
      </c>
      <c r="C157" s="808"/>
      <c r="D157" s="809"/>
      <c r="E157" s="788" t="s">
        <v>801</v>
      </c>
      <c r="F157" s="788"/>
      <c r="G157" s="788"/>
      <c r="H157" s="810">
        <f>'[69]Sheet1 (2)'!$F$38</f>
        <v>1100</v>
      </c>
      <c r="I157" s="811"/>
      <c r="J157" s="809"/>
      <c r="K157" s="809"/>
      <c r="L157" s="809"/>
      <c r="M157" s="809"/>
      <c r="N157" s="809"/>
      <c r="O157" s="809"/>
      <c r="P157" s="809"/>
      <c r="Q157" s="809"/>
      <c r="R157" s="809"/>
      <c r="S157" s="809"/>
      <c r="T157" s="809"/>
      <c r="U157" s="809"/>
      <c r="V157" s="801"/>
    </row>
    <row r="158" spans="1:22" s="784" customFormat="1" ht="28.5" customHeight="1">
      <c r="A158" s="835">
        <v>3</v>
      </c>
      <c r="B158" s="836" t="s">
        <v>856</v>
      </c>
      <c r="C158" s="837"/>
      <c r="D158" s="838"/>
      <c r="E158" s="839">
        <v>3</v>
      </c>
      <c r="F158" s="839"/>
      <c r="G158" s="839"/>
      <c r="H158" s="840">
        <f>SUM(H159:H161)</f>
        <v>1800</v>
      </c>
      <c r="I158" s="838"/>
      <c r="J158" s="838"/>
      <c r="K158" s="838"/>
      <c r="L158" s="838"/>
      <c r="M158" s="838"/>
      <c r="N158" s="838"/>
      <c r="O158" s="838"/>
      <c r="P158" s="838"/>
      <c r="Q158" s="838"/>
      <c r="R158" s="838"/>
      <c r="S158" s="838"/>
      <c r="T158" s="838"/>
      <c r="U158" s="838"/>
      <c r="V158" s="795"/>
    </row>
    <row r="159" spans="1:22" s="817" customFormat="1" ht="27" customHeight="1">
      <c r="A159" s="818" t="s">
        <v>70</v>
      </c>
      <c r="B159" s="827" t="str">
        <f>'[69]Sheet1 (2)'!$G$40</f>
        <v>Xây dựng công trình thủy lợi Biện Nam thôn Đồng Giàn, xã Chân Sơn</v>
      </c>
      <c r="C159" s="820"/>
      <c r="D159" s="822"/>
      <c r="E159" s="822" t="s">
        <v>801</v>
      </c>
      <c r="F159" s="822"/>
      <c r="G159" s="822"/>
      <c r="H159" s="824">
        <f>'[69]Sheet1 (2)'!$F$40</f>
        <v>1000</v>
      </c>
      <c r="I159" s="878"/>
      <c r="J159" s="822"/>
      <c r="K159" s="822"/>
      <c r="L159" s="822"/>
      <c r="M159" s="822"/>
      <c r="N159" s="822"/>
      <c r="O159" s="822"/>
      <c r="P159" s="822"/>
      <c r="Q159" s="822"/>
      <c r="R159" s="822"/>
      <c r="S159" s="822"/>
      <c r="T159" s="822"/>
      <c r="U159" s="822"/>
      <c r="V159" s="868"/>
    </row>
    <row r="160" spans="1:22" s="805" customFormat="1" ht="18.75" customHeight="1">
      <c r="A160" s="785" t="s">
        <v>70</v>
      </c>
      <c r="B160" s="799" t="str">
        <f>'[69]KH 2021-2022'!$B$15</f>
        <v>Xây Tường kè chắn đất thôn Động Sơn, xã Chân Sơn</v>
      </c>
      <c r="C160" s="787"/>
      <c r="D160" s="788"/>
      <c r="E160" s="788" t="s">
        <v>801</v>
      </c>
      <c r="F160" s="788"/>
      <c r="G160" s="788"/>
      <c r="H160" s="789">
        <f>'[69]KH 2021-2022'!$D$15</f>
        <v>300</v>
      </c>
      <c r="I160" s="879"/>
      <c r="J160" s="788"/>
      <c r="K160" s="788"/>
      <c r="L160" s="788"/>
      <c r="M160" s="788"/>
      <c r="N160" s="788"/>
      <c r="O160" s="788"/>
      <c r="P160" s="788"/>
      <c r="Q160" s="788"/>
      <c r="R160" s="788"/>
      <c r="S160" s="788"/>
      <c r="T160" s="788"/>
      <c r="U160" s="788"/>
      <c r="V160" s="880"/>
    </row>
    <row r="161" spans="1:22" s="790" customFormat="1" ht="18.75" customHeight="1">
      <c r="A161" s="806" t="s">
        <v>70</v>
      </c>
      <c r="B161" s="807" t="str">
        <f>'[69]Sheet1 (2)'!$G$42</f>
        <v>Xây dựng đường trục xã thôn Trường Sơn đi xã Trung Môn</v>
      </c>
      <c r="C161" s="808"/>
      <c r="D161" s="809"/>
      <c r="E161" s="788" t="s">
        <v>801</v>
      </c>
      <c r="F161" s="788"/>
      <c r="G161" s="788"/>
      <c r="H161" s="810">
        <f>'[69]Sheet1 (2)'!$F$42</f>
        <v>500</v>
      </c>
      <c r="I161" s="811"/>
      <c r="J161" s="809"/>
      <c r="K161" s="809"/>
      <c r="L161" s="809"/>
      <c r="M161" s="809"/>
      <c r="N161" s="809"/>
      <c r="O161" s="809"/>
      <c r="P161" s="809"/>
      <c r="Q161" s="809"/>
      <c r="R161" s="809"/>
      <c r="S161" s="809"/>
      <c r="T161" s="809"/>
      <c r="U161" s="809"/>
      <c r="V161" s="801"/>
    </row>
    <row r="162" spans="1:22" s="784" customFormat="1" ht="27" customHeight="1">
      <c r="A162" s="835">
        <v>4</v>
      </c>
      <c r="B162" s="836" t="s">
        <v>321</v>
      </c>
      <c r="C162" s="837"/>
      <c r="D162" s="838"/>
      <c r="E162" s="839">
        <v>2</v>
      </c>
      <c r="F162" s="839"/>
      <c r="G162" s="839"/>
      <c r="H162" s="840">
        <f>SUM(H163:H164)</f>
        <v>2000</v>
      </c>
      <c r="I162" s="838"/>
      <c r="J162" s="838"/>
      <c r="K162" s="838"/>
      <c r="L162" s="838"/>
      <c r="M162" s="838"/>
      <c r="N162" s="838"/>
      <c r="O162" s="838"/>
      <c r="P162" s="838"/>
      <c r="Q162" s="838"/>
      <c r="R162" s="838"/>
      <c r="S162" s="838"/>
      <c r="T162" s="838"/>
      <c r="U162" s="838"/>
      <c r="V162" s="795"/>
    </row>
    <row r="163" spans="1:22" s="817" customFormat="1" ht="28.5" customHeight="1">
      <c r="A163" s="818" t="s">
        <v>70</v>
      </c>
      <c r="B163" s="827" t="str">
        <f>'[69]Sheet1 (2)'!$G$46</f>
        <v>Xây dựng công trình phụ trợ  trường PTDT bán trú tiểu học và THCS Quý Quân</v>
      </c>
      <c r="C163" s="820"/>
      <c r="D163" s="822"/>
      <c r="E163" s="822" t="s">
        <v>801</v>
      </c>
      <c r="F163" s="822"/>
      <c r="G163" s="822"/>
      <c r="H163" s="824">
        <f>'[69]Sheet1 (2)'!$F$46</f>
        <v>800</v>
      </c>
      <c r="I163" s="878"/>
      <c r="J163" s="822"/>
      <c r="K163" s="822"/>
      <c r="L163" s="822"/>
      <c r="M163" s="822"/>
      <c r="N163" s="822"/>
      <c r="O163" s="822"/>
      <c r="P163" s="822"/>
      <c r="Q163" s="822"/>
      <c r="R163" s="822"/>
      <c r="S163" s="822"/>
      <c r="T163" s="822"/>
      <c r="U163" s="822"/>
      <c r="V163" s="868"/>
    </row>
    <row r="164" spans="1:22" s="790" customFormat="1" ht="19.5" customHeight="1">
      <c r="A164" s="806" t="s">
        <v>70</v>
      </c>
      <c r="B164" s="807" t="str">
        <f>'[69]Sheet1 (2)'!$G$47</f>
        <v>Xây dựng cầu tràn thôn 3, xã Quý Quân</v>
      </c>
      <c r="C164" s="808"/>
      <c r="D164" s="809"/>
      <c r="E164" s="788" t="s">
        <v>801</v>
      </c>
      <c r="F164" s="788"/>
      <c r="G164" s="788"/>
      <c r="H164" s="810">
        <f>'[69]Sheet1 (2)'!$F$47</f>
        <v>1200</v>
      </c>
      <c r="I164" s="811"/>
      <c r="J164" s="809"/>
      <c r="K164" s="809"/>
      <c r="L164" s="809"/>
      <c r="M164" s="809"/>
      <c r="N164" s="809"/>
      <c r="O164" s="809"/>
      <c r="P164" s="809"/>
      <c r="Q164" s="809"/>
      <c r="R164" s="809"/>
      <c r="S164" s="809"/>
      <c r="T164" s="809"/>
      <c r="U164" s="809"/>
      <c r="V164" s="801"/>
    </row>
    <row r="165" spans="1:22" s="784" customFormat="1" ht="19.5" customHeight="1">
      <c r="A165" s="835">
        <v>5</v>
      </c>
      <c r="B165" s="836" t="s">
        <v>857</v>
      </c>
      <c r="C165" s="837"/>
      <c r="D165" s="838"/>
      <c r="E165" s="839">
        <v>2</v>
      </c>
      <c r="F165" s="839"/>
      <c r="G165" s="839"/>
      <c r="H165" s="840">
        <f>SUM(H166:H167)</f>
        <v>846</v>
      </c>
      <c r="I165" s="838"/>
      <c r="J165" s="838"/>
      <c r="K165" s="838"/>
      <c r="L165" s="838"/>
      <c r="M165" s="838"/>
      <c r="N165" s="838"/>
      <c r="O165" s="838"/>
      <c r="P165" s="838"/>
      <c r="Q165" s="838"/>
      <c r="R165" s="838"/>
      <c r="S165" s="838"/>
      <c r="T165" s="838"/>
      <c r="U165" s="838"/>
      <c r="V165" s="795"/>
    </row>
    <row r="166" spans="1:22" s="817" customFormat="1" ht="30.75" customHeight="1">
      <c r="A166" s="818" t="s">
        <v>70</v>
      </c>
      <c r="B166" s="827" t="str">
        <f>'[69]Sheet1 (2)'!$G$49</f>
        <v>Nâng cấp, sửa chữa trường THCS Phúc Ninh và xây dựng các công trình phụ trợ</v>
      </c>
      <c r="C166" s="820"/>
      <c r="D166" s="822"/>
      <c r="E166" s="822" t="s">
        <v>801</v>
      </c>
      <c r="F166" s="822"/>
      <c r="G166" s="822"/>
      <c r="H166" s="824">
        <f>'[69]Sheet1 (2)'!$F$49</f>
        <v>300</v>
      </c>
      <c r="I166" s="878"/>
      <c r="J166" s="822"/>
      <c r="K166" s="822"/>
      <c r="L166" s="822"/>
      <c r="M166" s="822"/>
      <c r="N166" s="822"/>
      <c r="O166" s="822"/>
      <c r="P166" s="822"/>
      <c r="Q166" s="822"/>
      <c r="R166" s="822"/>
      <c r="S166" s="822"/>
      <c r="T166" s="822"/>
      <c r="U166" s="822"/>
      <c r="V166" s="868"/>
    </row>
    <row r="167" spans="1:22" s="817" customFormat="1" ht="23.25" customHeight="1">
      <c r="A167" s="818" t="s">
        <v>70</v>
      </c>
      <c r="B167" s="827" t="str">
        <f>'[69]KH 2021-2022'!$B$22</f>
        <v>Xây dựng bếp ăn Trường Mầm Non Trung tâm xã Phúc Ninh</v>
      </c>
      <c r="C167" s="820"/>
      <c r="D167" s="822"/>
      <c r="E167" s="822" t="s">
        <v>801</v>
      </c>
      <c r="F167" s="822"/>
      <c r="G167" s="822"/>
      <c r="H167" s="824">
        <f>'[69]KH 2021-2022'!$D$22</f>
        <v>546</v>
      </c>
      <c r="I167" s="878"/>
      <c r="J167" s="822"/>
      <c r="K167" s="822"/>
      <c r="L167" s="822"/>
      <c r="M167" s="822"/>
      <c r="N167" s="822"/>
      <c r="O167" s="822"/>
      <c r="P167" s="822"/>
      <c r="Q167" s="822"/>
      <c r="R167" s="822"/>
      <c r="S167" s="822"/>
      <c r="T167" s="822"/>
      <c r="U167" s="822"/>
      <c r="V167" s="868"/>
    </row>
    <row r="168" spans="1:22" s="784" customFormat="1" ht="19.5" customHeight="1">
      <c r="A168" s="835">
        <v>6</v>
      </c>
      <c r="B168" s="836" t="str">
        <f>'[69]Sheet1 (2)'!$G$53</f>
        <v>Xã Nhữ Hán</v>
      </c>
      <c r="C168" s="837"/>
      <c r="D168" s="838"/>
      <c r="E168" s="839">
        <v>1</v>
      </c>
      <c r="F168" s="839"/>
      <c r="G168" s="839"/>
      <c r="H168" s="840">
        <f>H169</f>
        <v>600</v>
      </c>
      <c r="I168" s="838"/>
      <c r="J168" s="838"/>
      <c r="K168" s="838"/>
      <c r="L168" s="838"/>
      <c r="M168" s="838"/>
      <c r="N168" s="838"/>
      <c r="O168" s="838"/>
      <c r="P168" s="838"/>
      <c r="Q168" s="838"/>
      <c r="R168" s="838"/>
      <c r="S168" s="838"/>
      <c r="T168" s="838"/>
      <c r="U168" s="838"/>
      <c r="V168" s="795"/>
    </row>
    <row r="169" spans="1:22" s="790" customFormat="1" ht="30.75" customHeight="1">
      <c r="A169" s="806"/>
      <c r="B169" s="807" t="str">
        <f>'[69]Sheet1 (2)'!$G$54</f>
        <v>Xây dựng đường trục xã đoạn từ đường DH 09 đi thôn Trại Xoan, xã Nhữ Hán</v>
      </c>
      <c r="C169" s="808"/>
      <c r="D169" s="809"/>
      <c r="E169" s="788" t="s">
        <v>801</v>
      </c>
      <c r="F169" s="788"/>
      <c r="G169" s="788"/>
      <c r="H169" s="810">
        <f>'[69]Sheet1 (2)'!$F$54</f>
        <v>600</v>
      </c>
      <c r="I169" s="811"/>
      <c r="J169" s="809"/>
      <c r="K169" s="809"/>
      <c r="L169" s="809"/>
      <c r="M169" s="809"/>
      <c r="N169" s="809"/>
      <c r="O169" s="809"/>
      <c r="P169" s="809"/>
      <c r="Q169" s="809"/>
      <c r="R169" s="809"/>
      <c r="S169" s="809"/>
      <c r="T169" s="809"/>
      <c r="U169" s="809"/>
      <c r="V169" s="801"/>
    </row>
    <row r="170" spans="1:22" s="784" customFormat="1" ht="19.5" customHeight="1">
      <c r="A170" s="835">
        <v>7</v>
      </c>
      <c r="B170" s="836" t="str">
        <f>'[69]Sheet1 (2)'!$G$55</f>
        <v>Xã Tân Tiến</v>
      </c>
      <c r="C170" s="837"/>
      <c r="D170" s="838"/>
      <c r="E170" s="839">
        <v>1</v>
      </c>
      <c r="F170" s="839"/>
      <c r="G170" s="839"/>
      <c r="H170" s="840">
        <f>H171</f>
        <v>200</v>
      </c>
      <c r="I170" s="838"/>
      <c r="J170" s="838"/>
      <c r="K170" s="838"/>
      <c r="L170" s="838"/>
      <c r="M170" s="838"/>
      <c r="N170" s="838"/>
      <c r="O170" s="838"/>
      <c r="P170" s="838"/>
      <c r="Q170" s="838"/>
      <c r="R170" s="838"/>
      <c r="S170" s="838"/>
      <c r="T170" s="838"/>
      <c r="U170" s="838"/>
      <c r="V170" s="795"/>
    </row>
    <row r="171" spans="1:22" s="817" customFormat="1" ht="33.75" customHeight="1">
      <c r="A171" s="818"/>
      <c r="B171" s="827" t="str">
        <f>'[69]Sheet1 (2)'!$G$56</f>
        <v>Xây dựng các công trình phụ trợ trường tiểu học Tân Tiến phân hiệu Roàng</v>
      </c>
      <c r="C171" s="820"/>
      <c r="D171" s="822"/>
      <c r="E171" s="822" t="s">
        <v>801</v>
      </c>
      <c r="F171" s="822"/>
      <c r="G171" s="822"/>
      <c r="H171" s="824">
        <f>'[69]Sheet1 (2)'!$F$56</f>
        <v>200</v>
      </c>
      <c r="I171" s="878"/>
      <c r="J171" s="822"/>
      <c r="K171" s="822"/>
      <c r="L171" s="822"/>
      <c r="M171" s="822"/>
      <c r="N171" s="822"/>
      <c r="O171" s="822"/>
      <c r="P171" s="822"/>
      <c r="Q171" s="822"/>
      <c r="R171" s="822"/>
      <c r="S171" s="822"/>
      <c r="T171" s="822"/>
      <c r="U171" s="822"/>
      <c r="V171" s="868"/>
    </row>
    <row r="172" spans="1:22" s="759" customFormat="1" ht="26.25" customHeight="1">
      <c r="A172" s="841" t="s">
        <v>92</v>
      </c>
      <c r="B172" s="842" t="s">
        <v>858</v>
      </c>
      <c r="C172" s="843">
        <v>43</v>
      </c>
      <c r="D172" s="844">
        <v>46344</v>
      </c>
      <c r="E172" s="845">
        <f>E173+E193+E195+E197+E201+E205+E207+E209+E212+E214+E224+E227</f>
        <v>26</v>
      </c>
      <c r="F172" s="845"/>
      <c r="G172" s="845"/>
      <c r="H172" s="846">
        <f>H173+H193+H195+H197+H201+H205+H207+H209+H212+H214+H224+H227</f>
        <v>34189.5</v>
      </c>
      <c r="I172" s="844"/>
      <c r="J172" s="844">
        <v>21885</v>
      </c>
      <c r="K172" s="844">
        <v>10370</v>
      </c>
      <c r="L172" s="844">
        <v>0</v>
      </c>
      <c r="M172" s="844">
        <v>0</v>
      </c>
      <c r="N172" s="844">
        <v>15580</v>
      </c>
      <c r="O172" s="844">
        <v>9612.2000000000007</v>
      </c>
      <c r="P172" s="844">
        <v>4132</v>
      </c>
      <c r="Q172" s="844">
        <v>0</v>
      </c>
      <c r="R172" s="844">
        <v>6186.8000000000011</v>
      </c>
      <c r="S172" s="844">
        <v>5967.7999999999993</v>
      </c>
      <c r="T172" s="844">
        <v>1196.1999999999998</v>
      </c>
      <c r="U172" s="844"/>
    </row>
    <row r="173" spans="1:22" s="784" customFormat="1" ht="18" customHeight="1">
      <c r="A173" s="835">
        <v>1</v>
      </c>
      <c r="B173" s="836" t="s">
        <v>859</v>
      </c>
      <c r="C173" s="837"/>
      <c r="D173" s="838"/>
      <c r="E173" s="839">
        <v>1</v>
      </c>
      <c r="F173" s="839"/>
      <c r="G173" s="839"/>
      <c r="H173" s="840">
        <f>SUM(H174:H174)</f>
        <v>1078</v>
      </c>
      <c r="I173" s="838"/>
      <c r="J173" s="838">
        <v>9700</v>
      </c>
      <c r="K173" s="838">
        <v>4850</v>
      </c>
      <c r="L173" s="838">
        <v>0</v>
      </c>
      <c r="M173" s="838">
        <v>0</v>
      </c>
      <c r="N173" s="838">
        <v>0</v>
      </c>
      <c r="O173" s="838">
        <v>0</v>
      </c>
      <c r="P173" s="838">
        <v>868</v>
      </c>
      <c r="Q173" s="838">
        <v>0</v>
      </c>
      <c r="R173" s="838">
        <v>2983.9</v>
      </c>
      <c r="S173" s="838">
        <v>0</v>
      </c>
      <c r="T173" s="838">
        <v>998.09999999999991</v>
      </c>
      <c r="U173" s="838"/>
    </row>
    <row r="174" spans="1:22" s="817" customFormat="1" ht="20.25" customHeight="1">
      <c r="A174" s="818" t="s">
        <v>70</v>
      </c>
      <c r="B174" s="827" t="str">
        <f>'[70]KH 2023'!$B$187</f>
        <v>Xây dựng nhà mái che trường mầm non Sơn Nam</v>
      </c>
      <c r="C174" s="820"/>
      <c r="D174" s="822"/>
      <c r="E174" s="822" t="s">
        <v>801</v>
      </c>
      <c r="F174" s="822"/>
      <c r="G174" s="822"/>
      <c r="H174" s="824">
        <f>'[70]KH 2023'!$C$187/1000</f>
        <v>1078</v>
      </c>
      <c r="I174" s="822"/>
      <c r="J174" s="822"/>
      <c r="K174" s="822"/>
      <c r="L174" s="822"/>
      <c r="M174" s="822"/>
      <c r="N174" s="822"/>
      <c r="O174" s="822"/>
      <c r="P174" s="822"/>
      <c r="Q174" s="822"/>
      <c r="R174" s="822"/>
      <c r="S174" s="822"/>
      <c r="T174" s="822"/>
      <c r="U174" s="822"/>
    </row>
    <row r="175" spans="1:22" s="790" customFormat="1" ht="24.75" hidden="1" customHeight="1">
      <c r="A175" s="806"/>
      <c r="B175" s="807"/>
      <c r="C175" s="808"/>
      <c r="D175" s="809"/>
      <c r="E175" s="809"/>
      <c r="F175" s="809"/>
      <c r="G175" s="809"/>
      <c r="H175" s="810"/>
      <c r="I175" s="809"/>
      <c r="J175" s="809"/>
      <c r="K175" s="809"/>
      <c r="L175" s="809"/>
      <c r="M175" s="809"/>
      <c r="N175" s="809"/>
      <c r="O175" s="809"/>
      <c r="P175" s="809"/>
      <c r="Q175" s="809"/>
      <c r="R175" s="809"/>
      <c r="S175" s="809"/>
      <c r="T175" s="809"/>
      <c r="U175" s="809"/>
    </row>
    <row r="176" spans="1:22" s="790" customFormat="1" ht="24.75" hidden="1" customHeight="1">
      <c r="A176" s="806"/>
      <c r="B176" s="807"/>
      <c r="C176" s="808"/>
      <c r="D176" s="809"/>
      <c r="E176" s="809"/>
      <c r="F176" s="809"/>
      <c r="G176" s="809"/>
      <c r="H176" s="810"/>
      <c r="I176" s="809"/>
      <c r="J176" s="809"/>
      <c r="K176" s="809"/>
      <c r="L176" s="809"/>
      <c r="M176" s="809"/>
      <c r="N176" s="809"/>
      <c r="O176" s="809"/>
      <c r="P176" s="809"/>
      <c r="Q176" s="809"/>
      <c r="R176" s="809"/>
      <c r="S176" s="809"/>
      <c r="T176" s="809"/>
      <c r="U176" s="809"/>
    </row>
    <row r="177" spans="1:21" s="790" customFormat="1" ht="24.75" hidden="1" customHeight="1">
      <c r="A177" s="806"/>
      <c r="B177" s="807"/>
      <c r="C177" s="808"/>
      <c r="D177" s="809"/>
      <c r="E177" s="809"/>
      <c r="F177" s="809"/>
      <c r="G177" s="809"/>
      <c r="H177" s="810"/>
      <c r="I177" s="809"/>
      <c r="J177" s="809"/>
      <c r="K177" s="809"/>
      <c r="L177" s="809"/>
      <c r="M177" s="809"/>
      <c r="N177" s="809"/>
      <c r="O177" s="809"/>
      <c r="P177" s="809"/>
      <c r="Q177" s="809"/>
      <c r="R177" s="809"/>
      <c r="S177" s="809"/>
      <c r="T177" s="809"/>
      <c r="U177" s="809"/>
    </row>
    <row r="178" spans="1:21" s="790" customFormat="1" ht="24.75" hidden="1" customHeight="1">
      <c r="A178" s="806"/>
      <c r="B178" s="807"/>
      <c r="C178" s="808"/>
      <c r="D178" s="809"/>
      <c r="E178" s="809"/>
      <c r="F178" s="809"/>
      <c r="G178" s="809"/>
      <c r="H178" s="810"/>
      <c r="I178" s="809"/>
      <c r="J178" s="809"/>
      <c r="K178" s="809"/>
      <c r="L178" s="809"/>
      <c r="M178" s="809"/>
      <c r="N178" s="809"/>
      <c r="O178" s="809"/>
      <c r="P178" s="809"/>
      <c r="Q178" s="809"/>
      <c r="R178" s="809"/>
      <c r="S178" s="809"/>
      <c r="T178" s="809"/>
      <c r="U178" s="809"/>
    </row>
    <row r="179" spans="1:21" s="790" customFormat="1" ht="24.75" hidden="1" customHeight="1">
      <c r="A179" s="806"/>
      <c r="B179" s="807"/>
      <c r="C179" s="808"/>
      <c r="D179" s="809"/>
      <c r="E179" s="809"/>
      <c r="F179" s="809"/>
      <c r="G179" s="809"/>
      <c r="H179" s="810"/>
      <c r="I179" s="809"/>
      <c r="J179" s="809"/>
      <c r="K179" s="809"/>
      <c r="L179" s="809"/>
      <c r="M179" s="809"/>
      <c r="N179" s="809"/>
      <c r="O179" s="809"/>
      <c r="P179" s="809"/>
      <c r="Q179" s="809"/>
      <c r="R179" s="809"/>
      <c r="S179" s="809"/>
      <c r="T179" s="809"/>
      <c r="U179" s="809"/>
    </row>
    <row r="180" spans="1:21" s="790" customFormat="1" hidden="1">
      <c r="A180" s="806"/>
      <c r="B180" s="807"/>
      <c r="C180" s="808"/>
      <c r="D180" s="809"/>
      <c r="E180" s="809"/>
      <c r="F180" s="809"/>
      <c r="G180" s="809"/>
      <c r="H180" s="810"/>
      <c r="I180" s="809"/>
      <c r="J180" s="809"/>
      <c r="K180" s="809"/>
      <c r="L180" s="809"/>
      <c r="M180" s="809"/>
      <c r="N180" s="809"/>
      <c r="O180" s="809"/>
      <c r="P180" s="809"/>
      <c r="Q180" s="809"/>
      <c r="R180" s="809"/>
      <c r="S180" s="809"/>
      <c r="T180" s="809"/>
      <c r="U180" s="809"/>
    </row>
    <row r="181" spans="1:21" s="790" customFormat="1" hidden="1">
      <c r="A181" s="806"/>
      <c r="B181" s="807"/>
      <c r="C181" s="808"/>
      <c r="D181" s="809"/>
      <c r="E181" s="809"/>
      <c r="F181" s="809"/>
      <c r="G181" s="809"/>
      <c r="H181" s="810"/>
      <c r="I181" s="809"/>
      <c r="J181" s="809"/>
      <c r="K181" s="809"/>
      <c r="L181" s="809"/>
      <c r="M181" s="809"/>
      <c r="N181" s="809"/>
      <c r="O181" s="809"/>
      <c r="P181" s="809"/>
      <c r="Q181" s="809"/>
      <c r="R181" s="809"/>
      <c r="S181" s="809"/>
      <c r="T181" s="809"/>
      <c r="U181" s="809"/>
    </row>
    <row r="182" spans="1:21" s="790" customFormat="1" hidden="1">
      <c r="A182" s="806"/>
      <c r="B182" s="807"/>
      <c r="C182" s="808"/>
      <c r="D182" s="809"/>
      <c r="E182" s="809"/>
      <c r="F182" s="809"/>
      <c r="G182" s="809"/>
      <c r="H182" s="810"/>
      <c r="I182" s="809"/>
      <c r="J182" s="809"/>
      <c r="K182" s="809"/>
      <c r="L182" s="809"/>
      <c r="M182" s="809"/>
      <c r="N182" s="809"/>
      <c r="O182" s="809"/>
      <c r="P182" s="809"/>
      <c r="Q182" s="809"/>
      <c r="R182" s="809"/>
      <c r="S182" s="809"/>
      <c r="T182" s="809"/>
      <c r="U182" s="809"/>
    </row>
    <row r="183" spans="1:21" s="790" customFormat="1" hidden="1">
      <c r="A183" s="806"/>
      <c r="B183" s="807"/>
      <c r="C183" s="808"/>
      <c r="D183" s="809"/>
      <c r="E183" s="809"/>
      <c r="F183" s="809"/>
      <c r="G183" s="809"/>
      <c r="H183" s="810"/>
      <c r="I183" s="809"/>
      <c r="J183" s="809"/>
      <c r="K183" s="809"/>
      <c r="L183" s="809"/>
      <c r="M183" s="809"/>
      <c r="N183" s="809"/>
      <c r="O183" s="809"/>
      <c r="P183" s="809"/>
      <c r="Q183" s="809"/>
      <c r="R183" s="809"/>
      <c r="S183" s="809"/>
      <c r="T183" s="809"/>
      <c r="U183" s="809"/>
    </row>
    <row r="184" spans="1:21" s="790" customFormat="1" hidden="1">
      <c r="A184" s="806"/>
      <c r="B184" s="807"/>
      <c r="C184" s="808"/>
      <c r="D184" s="809"/>
      <c r="E184" s="809"/>
      <c r="F184" s="809"/>
      <c r="G184" s="809"/>
      <c r="H184" s="810"/>
      <c r="I184" s="809"/>
      <c r="J184" s="809"/>
      <c r="K184" s="809"/>
      <c r="L184" s="809"/>
      <c r="M184" s="809"/>
      <c r="N184" s="809"/>
      <c r="O184" s="809"/>
      <c r="P184" s="809"/>
      <c r="Q184" s="809"/>
      <c r="R184" s="809"/>
      <c r="S184" s="809"/>
      <c r="T184" s="809"/>
      <c r="U184" s="809"/>
    </row>
    <row r="185" spans="1:21" s="790" customFormat="1" hidden="1">
      <c r="A185" s="806"/>
      <c r="B185" s="807"/>
      <c r="C185" s="808"/>
      <c r="D185" s="809"/>
      <c r="E185" s="809"/>
      <c r="F185" s="809"/>
      <c r="G185" s="809"/>
      <c r="H185" s="810"/>
      <c r="I185" s="809"/>
      <c r="J185" s="809"/>
      <c r="K185" s="809"/>
      <c r="L185" s="809"/>
      <c r="M185" s="809"/>
      <c r="N185" s="809"/>
      <c r="O185" s="809"/>
      <c r="P185" s="809"/>
      <c r="Q185" s="809"/>
      <c r="R185" s="809"/>
      <c r="S185" s="809"/>
      <c r="T185" s="809"/>
      <c r="U185" s="809"/>
    </row>
    <row r="186" spans="1:21" s="790" customFormat="1" hidden="1">
      <c r="A186" s="806"/>
      <c r="B186" s="807"/>
      <c r="C186" s="808"/>
      <c r="D186" s="809"/>
      <c r="E186" s="809"/>
      <c r="F186" s="809"/>
      <c r="G186" s="809"/>
      <c r="H186" s="810"/>
      <c r="I186" s="809"/>
      <c r="J186" s="809"/>
      <c r="K186" s="809"/>
      <c r="L186" s="809"/>
      <c r="M186" s="809"/>
      <c r="N186" s="809"/>
      <c r="O186" s="809"/>
      <c r="P186" s="809"/>
      <c r="Q186" s="809"/>
      <c r="R186" s="809"/>
      <c r="S186" s="809"/>
      <c r="T186" s="809"/>
      <c r="U186" s="809"/>
    </row>
    <row r="187" spans="1:21" s="790" customFormat="1" hidden="1">
      <c r="A187" s="806"/>
      <c r="B187" s="807"/>
      <c r="C187" s="808"/>
      <c r="D187" s="809"/>
      <c r="E187" s="809"/>
      <c r="F187" s="809"/>
      <c r="G187" s="809"/>
      <c r="H187" s="810"/>
      <c r="I187" s="809"/>
      <c r="J187" s="809"/>
      <c r="K187" s="809"/>
      <c r="L187" s="809"/>
      <c r="M187" s="809"/>
      <c r="N187" s="809"/>
      <c r="O187" s="809"/>
      <c r="P187" s="809"/>
      <c r="Q187" s="809"/>
      <c r="R187" s="809"/>
      <c r="S187" s="809"/>
      <c r="T187" s="809"/>
      <c r="U187" s="809"/>
    </row>
    <row r="188" spans="1:21" s="790" customFormat="1" hidden="1">
      <c r="A188" s="806"/>
      <c r="B188" s="807"/>
      <c r="C188" s="808"/>
      <c r="D188" s="809"/>
      <c r="E188" s="809"/>
      <c r="F188" s="809"/>
      <c r="G188" s="809"/>
      <c r="H188" s="810"/>
      <c r="I188" s="809"/>
      <c r="J188" s="809"/>
      <c r="K188" s="809"/>
      <c r="L188" s="809"/>
      <c r="M188" s="809"/>
      <c r="N188" s="809"/>
      <c r="O188" s="809"/>
      <c r="P188" s="809"/>
      <c r="Q188" s="809"/>
      <c r="R188" s="809"/>
      <c r="S188" s="809"/>
      <c r="T188" s="809"/>
      <c r="U188" s="809"/>
    </row>
    <row r="189" spans="1:21" s="790" customFormat="1" hidden="1">
      <c r="A189" s="806"/>
      <c r="B189" s="807"/>
      <c r="C189" s="808"/>
      <c r="D189" s="809"/>
      <c r="E189" s="809"/>
      <c r="F189" s="809"/>
      <c r="G189" s="809"/>
      <c r="H189" s="810"/>
      <c r="I189" s="809"/>
      <c r="J189" s="809"/>
      <c r="K189" s="809"/>
      <c r="L189" s="809"/>
      <c r="M189" s="809"/>
      <c r="N189" s="809"/>
      <c r="O189" s="809"/>
      <c r="P189" s="809"/>
      <c r="Q189" s="809"/>
      <c r="R189" s="809"/>
      <c r="S189" s="809"/>
      <c r="T189" s="809"/>
      <c r="U189" s="809"/>
    </row>
    <row r="190" spans="1:21" s="790" customFormat="1" hidden="1">
      <c r="A190" s="806"/>
      <c r="B190" s="807"/>
      <c r="C190" s="808"/>
      <c r="D190" s="809"/>
      <c r="E190" s="809"/>
      <c r="F190" s="809"/>
      <c r="G190" s="809"/>
      <c r="H190" s="810"/>
      <c r="I190" s="809"/>
      <c r="J190" s="809"/>
      <c r="K190" s="809"/>
      <c r="L190" s="809"/>
      <c r="M190" s="809"/>
      <c r="N190" s="809"/>
      <c r="O190" s="809"/>
      <c r="P190" s="809"/>
      <c r="Q190" s="809"/>
      <c r="R190" s="809"/>
      <c r="S190" s="809"/>
      <c r="T190" s="809"/>
      <c r="U190" s="809"/>
    </row>
    <row r="191" spans="1:21" s="790" customFormat="1" hidden="1">
      <c r="A191" s="806"/>
      <c r="B191" s="807"/>
      <c r="C191" s="808"/>
      <c r="D191" s="809"/>
      <c r="E191" s="809"/>
      <c r="F191" s="809"/>
      <c r="G191" s="809"/>
      <c r="H191" s="810"/>
      <c r="I191" s="809"/>
      <c r="J191" s="809"/>
      <c r="K191" s="809"/>
      <c r="L191" s="809"/>
      <c r="M191" s="809"/>
      <c r="N191" s="809"/>
      <c r="O191" s="809"/>
      <c r="P191" s="809"/>
      <c r="Q191" s="809"/>
      <c r="R191" s="809"/>
      <c r="S191" s="809"/>
      <c r="T191" s="809"/>
      <c r="U191" s="809"/>
    </row>
    <row r="192" spans="1:21" s="790" customFormat="1" hidden="1">
      <c r="A192" s="806"/>
      <c r="B192" s="807"/>
      <c r="C192" s="808"/>
      <c r="D192" s="809"/>
      <c r="E192" s="809"/>
      <c r="F192" s="809"/>
      <c r="G192" s="809"/>
      <c r="H192" s="810"/>
      <c r="I192" s="809"/>
      <c r="J192" s="809"/>
      <c r="K192" s="809"/>
      <c r="L192" s="809"/>
      <c r="M192" s="809"/>
      <c r="N192" s="809"/>
      <c r="O192" s="809"/>
      <c r="P192" s="809"/>
      <c r="Q192" s="809"/>
      <c r="R192" s="809"/>
      <c r="S192" s="809"/>
      <c r="T192" s="809"/>
      <c r="U192" s="809"/>
    </row>
    <row r="193" spans="1:21" s="847" customFormat="1" ht="21.75" customHeight="1">
      <c r="A193" s="791">
        <v>2</v>
      </c>
      <c r="B193" s="812" t="str">
        <f>'[70]KH 2023'!$B$182</f>
        <v>Xã Đại Phú</v>
      </c>
      <c r="C193" s="781"/>
      <c r="D193" s="793"/>
      <c r="E193" s="832">
        <v>1</v>
      </c>
      <c r="F193" s="832"/>
      <c r="G193" s="832"/>
      <c r="H193" s="783">
        <f>H194</f>
        <v>1078</v>
      </c>
      <c r="I193" s="828"/>
      <c r="J193" s="793"/>
      <c r="K193" s="793"/>
      <c r="L193" s="793"/>
      <c r="M193" s="793"/>
      <c r="N193" s="793"/>
      <c r="O193" s="793"/>
      <c r="P193" s="793"/>
      <c r="Q193" s="793"/>
      <c r="R193" s="793"/>
      <c r="S193" s="793"/>
      <c r="T193" s="793"/>
      <c r="U193" s="793"/>
    </row>
    <row r="194" spans="1:21" s="817" customFormat="1" ht="28.5" customHeight="1">
      <c r="A194" s="818" t="s">
        <v>70</v>
      </c>
      <c r="B194" s="827" t="str">
        <f>'[70]KH 2023'!$B$183</f>
        <v>Xây dựng 02 phòng học điểm trường Cây Thông, trường mầm non Đại Phú (giai đoạn 2)</v>
      </c>
      <c r="C194" s="820"/>
      <c r="D194" s="822"/>
      <c r="E194" s="822" t="s">
        <v>801</v>
      </c>
      <c r="F194" s="822"/>
      <c r="G194" s="822"/>
      <c r="H194" s="824">
        <f>'[70]KH 2023'!$C$183/1000</f>
        <v>1078</v>
      </c>
      <c r="I194" s="822"/>
      <c r="J194" s="822"/>
      <c r="K194" s="822"/>
      <c r="L194" s="822"/>
      <c r="M194" s="822"/>
      <c r="N194" s="822"/>
      <c r="O194" s="822"/>
      <c r="P194" s="822"/>
      <c r="Q194" s="822"/>
      <c r="R194" s="822"/>
      <c r="S194" s="822"/>
      <c r="T194" s="822"/>
      <c r="U194" s="822"/>
    </row>
    <row r="195" spans="1:21" s="847" customFormat="1" ht="27" customHeight="1">
      <c r="A195" s="791">
        <v>3</v>
      </c>
      <c r="B195" s="812" t="str">
        <f>'[70]KH 2023'!$B$184</f>
        <v>Xã Kháng Nhật</v>
      </c>
      <c r="C195" s="781"/>
      <c r="D195" s="793"/>
      <c r="E195" s="832">
        <v>1</v>
      </c>
      <c r="F195" s="832"/>
      <c r="G195" s="832"/>
      <c r="H195" s="783">
        <f>H196</f>
        <v>5389</v>
      </c>
      <c r="I195" s="828"/>
      <c r="J195" s="793"/>
      <c r="K195" s="793"/>
      <c r="L195" s="793"/>
      <c r="M195" s="793"/>
      <c r="N195" s="793"/>
      <c r="O195" s="793"/>
      <c r="P195" s="793"/>
      <c r="Q195" s="793"/>
      <c r="R195" s="793"/>
      <c r="S195" s="793"/>
      <c r="T195" s="793"/>
      <c r="U195" s="793"/>
    </row>
    <row r="196" spans="1:21" s="805" customFormat="1" ht="56.25" customHeight="1">
      <c r="A196" s="785" t="s">
        <v>70</v>
      </c>
      <c r="B196" s="1116" t="str">
        <f>'[70]KH 2023'!$B$185</f>
        <v>Xây dựng đường trục xã: Đoạn từ Nhà văn hoá thôn Lẹm đến cổng ông Cầm Lai (2,1 km), đoạn từ nghĩa trang thôn Ba Khe đến đường ĐT 185 (0,6 km) và đoạn từ thôn Trung Tâm đi thôn Khuôn Phầy (0,9 km)</v>
      </c>
      <c r="C196" s="787"/>
      <c r="D196" s="788"/>
      <c r="E196" s="788" t="s">
        <v>801</v>
      </c>
      <c r="F196" s="788"/>
      <c r="G196" s="788"/>
      <c r="H196" s="789">
        <f>'[70]KH 2023'!$C$185/1000</f>
        <v>5389</v>
      </c>
      <c r="I196" s="788"/>
      <c r="J196" s="788"/>
      <c r="K196" s="788"/>
      <c r="L196" s="788"/>
      <c r="M196" s="788"/>
      <c r="N196" s="788"/>
      <c r="O196" s="788"/>
      <c r="P196" s="788"/>
      <c r="Q196" s="788"/>
      <c r="R196" s="788"/>
      <c r="S196" s="788"/>
      <c r="T196" s="788"/>
      <c r="U196" s="788"/>
    </row>
    <row r="197" spans="1:21" s="847" customFormat="1" ht="16.5" customHeight="1">
      <c r="A197" s="791">
        <v>4</v>
      </c>
      <c r="B197" s="812" t="str">
        <f>'[70]KH 2023'!$B$188</f>
        <v>Xã Tân Trào</v>
      </c>
      <c r="C197" s="781"/>
      <c r="D197" s="793"/>
      <c r="E197" s="832">
        <v>3</v>
      </c>
      <c r="F197" s="832"/>
      <c r="G197" s="832"/>
      <c r="H197" s="783">
        <f>SUM(H198:H200)</f>
        <v>1078</v>
      </c>
      <c r="I197" s="828"/>
      <c r="J197" s="793"/>
      <c r="K197" s="793"/>
      <c r="L197" s="793"/>
      <c r="M197" s="793"/>
      <c r="N197" s="793"/>
      <c r="O197" s="793"/>
      <c r="P197" s="793"/>
      <c r="Q197" s="793"/>
      <c r="R197" s="793"/>
      <c r="S197" s="793"/>
      <c r="T197" s="793"/>
      <c r="U197" s="793"/>
    </row>
    <row r="198" spans="1:21" s="805" customFormat="1" ht="16.5" customHeight="1">
      <c r="A198" s="785" t="s">
        <v>70</v>
      </c>
      <c r="B198" s="799" t="str">
        <f>'[70]KH 2023'!$B$189</f>
        <v>Xây dựng đường trục thôn</v>
      </c>
      <c r="C198" s="787"/>
      <c r="D198" s="788"/>
      <c r="E198" s="788" t="s">
        <v>801</v>
      </c>
      <c r="F198" s="788"/>
      <c r="G198" s="788"/>
      <c r="H198" s="789">
        <f>'[70]KH 2023'!$C$189/1000</f>
        <v>832</v>
      </c>
      <c r="I198" s="788"/>
      <c r="J198" s="788"/>
      <c r="K198" s="788"/>
      <c r="L198" s="788"/>
      <c r="M198" s="788"/>
      <c r="N198" s="788"/>
      <c r="O198" s="788"/>
      <c r="P198" s="788"/>
      <c r="Q198" s="788"/>
      <c r="R198" s="788"/>
      <c r="S198" s="788"/>
      <c r="T198" s="788"/>
      <c r="U198" s="788"/>
    </row>
    <row r="199" spans="1:21" s="817" customFormat="1" ht="16.5" customHeight="1">
      <c r="A199" s="818" t="s">
        <v>70</v>
      </c>
      <c r="B199" s="827" t="str">
        <f>'[70]KH 2023'!$B$190</f>
        <v>Nâng cấp, cải tạo Nhà văn hoá thôn Tân Lập</v>
      </c>
      <c r="C199" s="820"/>
      <c r="D199" s="822"/>
      <c r="E199" s="822" t="s">
        <v>801</v>
      </c>
      <c r="F199" s="822"/>
      <c r="G199" s="822"/>
      <c r="H199" s="824">
        <f>'[70]KH 2023'!$C$190/1000</f>
        <v>100</v>
      </c>
      <c r="I199" s="822"/>
      <c r="J199" s="822"/>
      <c r="K199" s="822"/>
      <c r="L199" s="822"/>
      <c r="M199" s="822"/>
      <c r="N199" s="822"/>
      <c r="O199" s="822"/>
      <c r="P199" s="822"/>
      <c r="Q199" s="822"/>
      <c r="R199" s="822"/>
      <c r="S199" s="822"/>
      <c r="T199" s="822"/>
      <c r="U199" s="822">
        <f>H199*2</f>
        <v>200</v>
      </c>
    </row>
    <row r="200" spans="1:21" s="817" customFormat="1" ht="28.5" customHeight="1">
      <c r="A200" s="818" t="s">
        <v>70</v>
      </c>
      <c r="B200" s="827" t="str">
        <f>'[70]KH 2023'!$B$191</f>
        <v>Xây dựng cổng và hàng rào nhà văn hoá thôn Tiền Phong và thôn Vĩnh Tân</v>
      </c>
      <c r="C200" s="820"/>
      <c r="D200" s="822"/>
      <c r="E200" s="822" t="s">
        <v>801</v>
      </c>
      <c r="F200" s="822"/>
      <c r="G200" s="822"/>
      <c r="H200" s="824">
        <f>'[70]KH 2023'!$C$191/1000</f>
        <v>146</v>
      </c>
      <c r="I200" s="822"/>
      <c r="J200" s="822"/>
      <c r="K200" s="822"/>
      <c r="L200" s="822"/>
      <c r="M200" s="822"/>
      <c r="N200" s="822"/>
      <c r="O200" s="822"/>
      <c r="P200" s="822"/>
      <c r="Q200" s="822"/>
      <c r="R200" s="822"/>
      <c r="S200" s="822"/>
      <c r="T200" s="822"/>
      <c r="U200" s="822">
        <f>H200*2</f>
        <v>292</v>
      </c>
    </row>
    <row r="201" spans="1:21" s="847" customFormat="1" ht="25.5" customHeight="1">
      <c r="A201" s="791">
        <v>5</v>
      </c>
      <c r="B201" s="812" t="str">
        <f>'[70]KH 2023'!$B$192</f>
        <v xml:space="preserve">Xã Phú Lương </v>
      </c>
      <c r="C201" s="781"/>
      <c r="D201" s="793"/>
      <c r="E201" s="832">
        <v>3</v>
      </c>
      <c r="F201" s="832"/>
      <c r="G201" s="832"/>
      <c r="H201" s="783">
        <f>SUM(H202:H204)</f>
        <v>5389</v>
      </c>
      <c r="I201" s="828"/>
      <c r="J201" s="793"/>
      <c r="K201" s="793"/>
      <c r="L201" s="793"/>
      <c r="M201" s="793"/>
      <c r="N201" s="793"/>
      <c r="O201" s="793"/>
      <c r="P201" s="793"/>
      <c r="Q201" s="793"/>
      <c r="R201" s="793"/>
      <c r="S201" s="793"/>
      <c r="T201" s="793"/>
      <c r="U201" s="793"/>
    </row>
    <row r="202" spans="1:21" s="817" customFormat="1" ht="15.75" customHeight="1">
      <c r="A202" s="818" t="s">
        <v>70</v>
      </c>
      <c r="B202" s="827" t="str">
        <f>'[70]KH 2023'!$B$193</f>
        <v>Xây dựng nghĩa trang thôn Lão Nhiêu, Lãng Nhiêu</v>
      </c>
      <c r="C202" s="820"/>
      <c r="D202" s="822"/>
      <c r="E202" s="822" t="s">
        <v>801</v>
      </c>
      <c r="F202" s="822"/>
      <c r="G202" s="822"/>
      <c r="H202" s="824">
        <f>'[70]KH 2023'!$C$193/1000</f>
        <v>200</v>
      </c>
      <c r="I202" s="822"/>
      <c r="J202" s="822"/>
      <c r="K202" s="822"/>
      <c r="L202" s="822"/>
      <c r="M202" s="822"/>
      <c r="N202" s="822"/>
      <c r="O202" s="822"/>
      <c r="P202" s="822"/>
      <c r="Q202" s="822"/>
      <c r="R202" s="822"/>
      <c r="S202" s="822"/>
      <c r="T202" s="822"/>
      <c r="U202" s="822"/>
    </row>
    <row r="203" spans="1:21" s="817" customFormat="1" ht="15.75" customHeight="1">
      <c r="A203" s="818" t="s">
        <v>70</v>
      </c>
      <c r="B203" s="827" t="str">
        <f>'[70]KH 2023'!$B$194</f>
        <v>Xây dựng đường vào Trường Mầm non Phú Lương</v>
      </c>
      <c r="C203" s="820"/>
      <c r="D203" s="822"/>
      <c r="E203" s="822" t="s">
        <v>801</v>
      </c>
      <c r="F203" s="822"/>
      <c r="G203" s="822"/>
      <c r="H203" s="824">
        <f>'[70]KH 2023'!$C$194/1000</f>
        <v>200</v>
      </c>
      <c r="I203" s="822"/>
      <c r="J203" s="822"/>
      <c r="K203" s="822"/>
      <c r="L203" s="822"/>
      <c r="M203" s="822"/>
      <c r="N203" s="822"/>
      <c r="O203" s="822"/>
      <c r="P203" s="822"/>
      <c r="Q203" s="822"/>
      <c r="R203" s="822"/>
      <c r="S203" s="822"/>
      <c r="T203" s="822"/>
      <c r="U203" s="822"/>
    </row>
    <row r="204" spans="1:21" s="817" customFormat="1" ht="15.75" customHeight="1">
      <c r="A204" s="818" t="s">
        <v>70</v>
      </c>
      <c r="B204" s="827" t="str">
        <f>'[70]KH 2023'!$B$195</f>
        <v>Xây dựng 06 phòng học trường Mầm non Phú Lương</v>
      </c>
      <c r="C204" s="820"/>
      <c r="D204" s="822"/>
      <c r="E204" s="822" t="s">
        <v>801</v>
      </c>
      <c r="F204" s="822"/>
      <c r="G204" s="822"/>
      <c r="H204" s="824">
        <f>'[70]KH 2023'!$C$195/1000</f>
        <v>4989</v>
      </c>
      <c r="I204" s="822"/>
      <c r="J204" s="822"/>
      <c r="K204" s="822"/>
      <c r="L204" s="822"/>
      <c r="M204" s="822"/>
      <c r="N204" s="822"/>
      <c r="O204" s="822"/>
      <c r="P204" s="822"/>
      <c r="Q204" s="822"/>
      <c r="R204" s="822"/>
      <c r="S204" s="822"/>
      <c r="T204" s="822"/>
      <c r="U204" s="822"/>
    </row>
    <row r="205" spans="1:21" s="847" customFormat="1" ht="15.75" customHeight="1">
      <c r="A205" s="791">
        <v>6</v>
      </c>
      <c r="B205" s="812" t="str">
        <f>'[70]KH 2023'!$B$196</f>
        <v>Xã Thiện Kế</v>
      </c>
      <c r="C205" s="781"/>
      <c r="D205" s="793"/>
      <c r="E205" s="832">
        <v>1</v>
      </c>
      <c r="F205" s="832"/>
      <c r="G205" s="832"/>
      <c r="H205" s="783">
        <f>H206</f>
        <v>1078</v>
      </c>
      <c r="I205" s="828"/>
      <c r="J205" s="793"/>
      <c r="K205" s="793"/>
      <c r="L205" s="793"/>
      <c r="M205" s="793"/>
      <c r="N205" s="793"/>
      <c r="O205" s="793"/>
      <c r="P205" s="793"/>
      <c r="Q205" s="793"/>
      <c r="R205" s="793"/>
      <c r="S205" s="793"/>
      <c r="T205" s="793"/>
      <c r="U205" s="793"/>
    </row>
    <row r="206" spans="1:21" s="805" customFormat="1" ht="26.25" customHeight="1">
      <c r="A206" s="785" t="s">
        <v>70</v>
      </c>
      <c r="B206" s="799" t="str">
        <f>'[70]KH 2023'!$B$197</f>
        <v>Xây dựng rãnh thoát nước thải khu dân cư tại các thôn Vạt Chanh, Cầu Xi</v>
      </c>
      <c r="C206" s="787"/>
      <c r="D206" s="788"/>
      <c r="E206" s="788" t="s">
        <v>801</v>
      </c>
      <c r="F206" s="788"/>
      <c r="G206" s="788"/>
      <c r="H206" s="789">
        <f>'[70]KH 2023'!$C$197/1000</f>
        <v>1078</v>
      </c>
      <c r="I206" s="788"/>
      <c r="J206" s="788"/>
      <c r="K206" s="788"/>
      <c r="L206" s="788"/>
      <c r="M206" s="788"/>
      <c r="N206" s="788"/>
      <c r="O206" s="788"/>
      <c r="P206" s="788"/>
      <c r="Q206" s="788"/>
      <c r="R206" s="788"/>
      <c r="S206" s="788"/>
      <c r="T206" s="788"/>
      <c r="U206" s="788"/>
    </row>
    <row r="207" spans="1:21" s="847" customFormat="1" ht="15.75" customHeight="1">
      <c r="A207" s="791">
        <v>7</v>
      </c>
      <c r="B207" s="812" t="str">
        <f>'[70]KH 2023'!$B$198</f>
        <v>Xã Ninh Lai</v>
      </c>
      <c r="C207" s="781"/>
      <c r="D207" s="793"/>
      <c r="E207" s="832">
        <v>1</v>
      </c>
      <c r="F207" s="832"/>
      <c r="G207" s="832"/>
      <c r="H207" s="783">
        <f>H208</f>
        <v>1078</v>
      </c>
      <c r="I207" s="828"/>
      <c r="J207" s="793"/>
      <c r="K207" s="793"/>
      <c r="L207" s="793"/>
      <c r="M207" s="793"/>
      <c r="N207" s="793"/>
      <c r="O207" s="793"/>
      <c r="P207" s="793"/>
      <c r="Q207" s="793"/>
      <c r="R207" s="793"/>
      <c r="S207" s="793"/>
      <c r="T207" s="793"/>
      <c r="U207" s="793"/>
    </row>
    <row r="208" spans="1:21" s="817" customFormat="1" ht="15.75" customHeight="1">
      <c r="A208" s="818" t="s">
        <v>70</v>
      </c>
      <c r="B208" s="827" t="str">
        <f>'[70]KH 2023'!$B$199</f>
        <v>Sửa chữa, nâng cấp nhà văn hoá xã</v>
      </c>
      <c r="C208" s="820"/>
      <c r="D208" s="822"/>
      <c r="E208" s="822" t="s">
        <v>801</v>
      </c>
      <c r="F208" s="822"/>
      <c r="G208" s="822"/>
      <c r="H208" s="824">
        <f>'[70]KH 2023'!$C$199/1000</f>
        <v>1078</v>
      </c>
      <c r="I208" s="822"/>
      <c r="J208" s="822"/>
      <c r="K208" s="822"/>
      <c r="L208" s="822"/>
      <c r="M208" s="822"/>
      <c r="N208" s="822"/>
      <c r="O208" s="822"/>
      <c r="P208" s="822"/>
      <c r="Q208" s="822"/>
      <c r="R208" s="822"/>
      <c r="S208" s="822"/>
      <c r="T208" s="822"/>
      <c r="U208" s="822">
        <f>H208*2</f>
        <v>2156</v>
      </c>
    </row>
    <row r="209" spans="1:21" s="847" customFormat="1" ht="27" customHeight="1">
      <c r="A209" s="791">
        <v>8</v>
      </c>
      <c r="B209" s="812" t="str">
        <f>'[70]KH 2023'!$B$200</f>
        <v>Xã Đông Thọ</v>
      </c>
      <c r="C209" s="781"/>
      <c r="D209" s="793"/>
      <c r="E209" s="832">
        <v>2</v>
      </c>
      <c r="F209" s="832"/>
      <c r="G209" s="832"/>
      <c r="H209" s="783">
        <f>SUM(H210:H211)</f>
        <v>5087.5</v>
      </c>
      <c r="I209" s="828"/>
      <c r="J209" s="793"/>
      <c r="K209" s="793"/>
      <c r="L209" s="793"/>
      <c r="M209" s="793"/>
      <c r="N209" s="793"/>
      <c r="O209" s="793"/>
      <c r="P209" s="793"/>
      <c r="Q209" s="793"/>
      <c r="R209" s="793"/>
      <c r="S209" s="793"/>
      <c r="T209" s="793"/>
      <c r="U209" s="793"/>
    </row>
    <row r="210" spans="1:21" s="805" customFormat="1" ht="28.5" customHeight="1">
      <c r="A210" s="785" t="s">
        <v>70</v>
      </c>
      <c r="B210" s="799" t="str">
        <f>'[70]KH 2023'!$B$201</f>
        <v>Xây dựng đường trục xã: Đoạn từ ĐT186 đi Ban nghiên cứu không quân và đoạn từ đường ĐH21 đi ĐH 04</v>
      </c>
      <c r="C210" s="787"/>
      <c r="D210" s="788"/>
      <c r="E210" s="788" t="s">
        <v>801</v>
      </c>
      <c r="F210" s="788"/>
      <c r="G210" s="788"/>
      <c r="H210" s="789">
        <v>4787.5</v>
      </c>
      <c r="I210" s="788"/>
      <c r="J210" s="788"/>
      <c r="K210" s="788"/>
      <c r="L210" s="788"/>
      <c r="M210" s="788"/>
      <c r="N210" s="788"/>
      <c r="O210" s="788"/>
      <c r="P210" s="788"/>
      <c r="Q210" s="788"/>
      <c r="R210" s="788"/>
      <c r="S210" s="788"/>
      <c r="T210" s="788"/>
      <c r="U210" s="788"/>
    </row>
    <row r="211" spans="1:21" s="817" customFormat="1" ht="28.5" customHeight="1">
      <c r="A211" s="818" t="s">
        <v>70</v>
      </c>
      <c r="B211" s="827" t="s">
        <v>827</v>
      </c>
      <c r="C211" s="820"/>
      <c r="D211" s="822"/>
      <c r="E211" s="822" t="s">
        <v>801</v>
      </c>
      <c r="F211" s="822"/>
      <c r="G211" s="822"/>
      <c r="H211" s="824">
        <f>'[70]KH 2023'!$C$202/1000</f>
        <v>300</v>
      </c>
      <c r="I211" s="822"/>
      <c r="J211" s="822"/>
      <c r="K211" s="822"/>
      <c r="L211" s="822"/>
      <c r="M211" s="822"/>
      <c r="N211" s="822"/>
      <c r="O211" s="822"/>
      <c r="P211" s="822"/>
      <c r="Q211" s="822"/>
      <c r="R211" s="822"/>
      <c r="S211" s="822"/>
      <c r="T211" s="822"/>
      <c r="U211" s="822">
        <f>H211*2</f>
        <v>600</v>
      </c>
    </row>
    <row r="212" spans="1:21" s="847" customFormat="1" ht="27" customHeight="1">
      <c r="A212" s="791">
        <v>9</v>
      </c>
      <c r="B212" s="812" t="str">
        <f>'[70]KH 2023'!$B$203</f>
        <v>Xã Vân Sơn</v>
      </c>
      <c r="C212" s="781"/>
      <c r="D212" s="793"/>
      <c r="E212" s="832">
        <v>1</v>
      </c>
      <c r="F212" s="832"/>
      <c r="G212" s="832"/>
      <c r="H212" s="783">
        <f>H213</f>
        <v>5389</v>
      </c>
      <c r="I212" s="828"/>
      <c r="J212" s="793"/>
      <c r="K212" s="793"/>
      <c r="L212" s="793"/>
      <c r="M212" s="793"/>
      <c r="N212" s="793"/>
      <c r="O212" s="793"/>
      <c r="P212" s="793"/>
      <c r="Q212" s="793"/>
      <c r="R212" s="793"/>
      <c r="S212" s="793"/>
      <c r="T212" s="793"/>
      <c r="U212" s="793"/>
    </row>
    <row r="213" spans="1:21" s="817" customFormat="1" ht="26.25" customHeight="1">
      <c r="A213" s="818" t="s">
        <v>70</v>
      </c>
      <c r="B213" s="827" t="str">
        <f>'[70]KH 2023'!$B$204</f>
        <v>Xây dựng nhà hai tầng các phòng chức năng Trường THCS Vân Sơn</v>
      </c>
      <c r="C213" s="820"/>
      <c r="D213" s="822"/>
      <c r="E213" s="822" t="s">
        <v>801</v>
      </c>
      <c r="F213" s="822"/>
      <c r="G213" s="822"/>
      <c r="H213" s="824">
        <f>'[70]KH 2023'!$C$204/1000</f>
        <v>5389</v>
      </c>
      <c r="I213" s="822"/>
      <c r="J213" s="822"/>
      <c r="K213" s="822"/>
      <c r="L213" s="822"/>
      <c r="M213" s="822"/>
      <c r="N213" s="822"/>
      <c r="O213" s="822"/>
      <c r="P213" s="822"/>
      <c r="Q213" s="822"/>
      <c r="R213" s="822"/>
      <c r="S213" s="822"/>
      <c r="T213" s="822"/>
      <c r="U213" s="822"/>
    </row>
    <row r="214" spans="1:21" s="847" customFormat="1" ht="26.25" customHeight="1">
      <c r="A214" s="791">
        <v>10</v>
      </c>
      <c r="B214" s="812" t="str">
        <f>'[70]KH 2023'!$B$205</f>
        <v>Xã Tam Đa</v>
      </c>
      <c r="C214" s="781"/>
      <c r="D214" s="793"/>
      <c r="E214" s="832">
        <v>9</v>
      </c>
      <c r="F214" s="832"/>
      <c r="G214" s="832"/>
      <c r="H214" s="783">
        <f>SUM(H215:H223)</f>
        <v>5389</v>
      </c>
      <c r="I214" s="828"/>
      <c r="J214" s="793"/>
      <c r="K214" s="793"/>
      <c r="L214" s="793"/>
      <c r="M214" s="793"/>
      <c r="N214" s="793"/>
      <c r="O214" s="793"/>
      <c r="P214" s="793"/>
      <c r="Q214" s="793"/>
      <c r="R214" s="793"/>
      <c r="S214" s="793"/>
      <c r="T214" s="793"/>
      <c r="U214" s="793"/>
    </row>
    <row r="215" spans="1:21" s="817" customFormat="1" ht="25.5" customHeight="1">
      <c r="A215" s="818" t="s">
        <v>70</v>
      </c>
      <c r="B215" s="827" t="str">
        <f>'[70]KH 2023'!$B$206</f>
        <v>Sửa chữa, nâng cấp công trình thủy lợi đập Dộc Sộp thôn Phú Thọ</v>
      </c>
      <c r="C215" s="820"/>
      <c r="D215" s="822"/>
      <c r="E215" s="822" t="s">
        <v>801</v>
      </c>
      <c r="F215" s="822"/>
      <c r="G215" s="822"/>
      <c r="H215" s="824">
        <f>'[70]KH 2023'!$C$206/1000</f>
        <v>400</v>
      </c>
      <c r="I215" s="822"/>
      <c r="J215" s="822"/>
      <c r="K215" s="822"/>
      <c r="L215" s="822"/>
      <c r="M215" s="822"/>
      <c r="N215" s="822"/>
      <c r="O215" s="822"/>
      <c r="P215" s="822"/>
      <c r="Q215" s="822"/>
      <c r="R215" s="822"/>
      <c r="S215" s="822"/>
      <c r="T215" s="822"/>
      <c r="U215" s="822"/>
    </row>
    <row r="216" spans="1:21" s="805" customFormat="1" ht="26.25" customHeight="1">
      <c r="A216" s="785" t="s">
        <v>70</v>
      </c>
      <c r="B216" s="1116" t="str">
        <f>'[70]KH 2023'!$B$207</f>
        <v>Xây dựng đường trục xã đoạn từ đường ĐH04 đến đường xã Tam Đa đi xã Quang Yên</v>
      </c>
      <c r="C216" s="787"/>
      <c r="D216" s="788"/>
      <c r="E216" s="788" t="s">
        <v>801</v>
      </c>
      <c r="F216" s="788"/>
      <c r="G216" s="788"/>
      <c r="H216" s="789">
        <f>'[70]KH 2023'!$C$207/1000</f>
        <v>500</v>
      </c>
      <c r="I216" s="788"/>
      <c r="J216" s="788"/>
      <c r="K216" s="788"/>
      <c r="L216" s="788"/>
      <c r="M216" s="788"/>
      <c r="N216" s="788"/>
      <c r="O216" s="788"/>
      <c r="P216" s="788"/>
      <c r="Q216" s="788"/>
      <c r="R216" s="788"/>
      <c r="S216" s="788"/>
      <c r="T216" s="788"/>
      <c r="U216" s="788"/>
    </row>
    <row r="217" spans="1:21" s="805" customFormat="1" ht="38.25">
      <c r="A217" s="785" t="s">
        <v>70</v>
      </c>
      <c r="B217" s="1116" t="s">
        <v>803</v>
      </c>
      <c r="C217" s="787"/>
      <c r="D217" s="788"/>
      <c r="E217" s="788" t="s">
        <v>801</v>
      </c>
      <c r="F217" s="788"/>
      <c r="G217" s="788"/>
      <c r="H217" s="789">
        <f>'[70]KH 2023'!$C$208/1000</f>
        <v>600</v>
      </c>
      <c r="I217" s="788"/>
      <c r="J217" s="788"/>
      <c r="K217" s="788"/>
      <c r="L217" s="788"/>
      <c r="M217" s="788"/>
      <c r="N217" s="788"/>
      <c r="O217" s="788"/>
      <c r="P217" s="788"/>
      <c r="Q217" s="788"/>
      <c r="R217" s="788"/>
      <c r="S217" s="788"/>
      <c r="T217" s="788"/>
      <c r="U217" s="788"/>
    </row>
    <row r="218" spans="1:21" s="805" customFormat="1" ht="38.25">
      <c r="A218" s="785" t="s">
        <v>70</v>
      </c>
      <c r="B218" s="1116" t="s">
        <v>804</v>
      </c>
      <c r="C218" s="787"/>
      <c r="D218" s="788"/>
      <c r="E218" s="788" t="s">
        <v>801</v>
      </c>
      <c r="F218" s="788"/>
      <c r="G218" s="788"/>
      <c r="H218" s="789">
        <f>'[70]KH 2023'!$C$209/1000</f>
        <v>500</v>
      </c>
      <c r="I218" s="788"/>
      <c r="J218" s="788"/>
      <c r="K218" s="788"/>
      <c r="L218" s="788"/>
      <c r="M218" s="788"/>
      <c r="N218" s="788"/>
      <c r="O218" s="788"/>
      <c r="P218" s="788"/>
      <c r="Q218" s="788"/>
      <c r="R218" s="788"/>
      <c r="S218" s="788"/>
      <c r="T218" s="788"/>
      <c r="U218" s="788"/>
    </row>
    <row r="219" spans="1:21" s="817" customFormat="1" ht="25.5">
      <c r="A219" s="818" t="s">
        <v>70</v>
      </c>
      <c r="B219" s="827" t="s">
        <v>828</v>
      </c>
      <c r="C219" s="820"/>
      <c r="D219" s="822"/>
      <c r="E219" s="822" t="s">
        <v>801</v>
      </c>
      <c r="F219" s="822"/>
      <c r="G219" s="822"/>
      <c r="H219" s="824">
        <f>'[70]KH 2023'!$C$210/1000</f>
        <v>300</v>
      </c>
      <c r="I219" s="822"/>
      <c r="J219" s="822"/>
      <c r="K219" s="822"/>
      <c r="L219" s="822"/>
      <c r="M219" s="822"/>
      <c r="N219" s="822"/>
      <c r="O219" s="822"/>
      <c r="P219" s="822"/>
      <c r="Q219" s="822"/>
      <c r="R219" s="822"/>
      <c r="S219" s="822"/>
      <c r="T219" s="822"/>
      <c r="U219" s="822">
        <f>H219*2</f>
        <v>600</v>
      </c>
    </row>
    <row r="220" spans="1:21" s="817" customFormat="1" ht="25.5">
      <c r="A220" s="818" t="s">
        <v>70</v>
      </c>
      <c r="B220" s="827" t="s">
        <v>829</v>
      </c>
      <c r="C220" s="820"/>
      <c r="D220" s="822"/>
      <c r="E220" s="822" t="s">
        <v>801</v>
      </c>
      <c r="F220" s="822"/>
      <c r="G220" s="822"/>
      <c r="H220" s="824">
        <f>'[70]KH 2023'!$C$211/1000</f>
        <v>300</v>
      </c>
      <c r="I220" s="822"/>
      <c r="J220" s="822"/>
      <c r="K220" s="822"/>
      <c r="L220" s="822"/>
      <c r="M220" s="822"/>
      <c r="N220" s="822"/>
      <c r="O220" s="822"/>
      <c r="P220" s="822"/>
      <c r="Q220" s="822"/>
      <c r="R220" s="822"/>
      <c r="S220" s="822"/>
      <c r="T220" s="822"/>
      <c r="U220" s="822">
        <f>H220*2</f>
        <v>600</v>
      </c>
    </row>
    <row r="221" spans="1:21" s="817" customFormat="1" ht="25.5">
      <c r="A221" s="818" t="s">
        <v>70</v>
      </c>
      <c r="B221" s="827" t="s">
        <v>830</v>
      </c>
      <c r="C221" s="820"/>
      <c r="D221" s="822"/>
      <c r="E221" s="822" t="s">
        <v>801</v>
      </c>
      <c r="F221" s="822"/>
      <c r="G221" s="822"/>
      <c r="H221" s="824">
        <f>'[70]KH 2023'!$C$212/1000</f>
        <v>300</v>
      </c>
      <c r="I221" s="822"/>
      <c r="J221" s="822"/>
      <c r="K221" s="822"/>
      <c r="L221" s="822"/>
      <c r="M221" s="822"/>
      <c r="N221" s="822"/>
      <c r="O221" s="822"/>
      <c r="P221" s="822"/>
      <c r="Q221" s="822"/>
      <c r="R221" s="822"/>
      <c r="S221" s="822"/>
      <c r="T221" s="822"/>
      <c r="U221" s="822">
        <f>H221*2</f>
        <v>600</v>
      </c>
    </row>
    <row r="222" spans="1:21" s="817" customFormat="1" ht="25.5">
      <c r="A222" s="818" t="s">
        <v>70</v>
      </c>
      <c r="B222" s="827" t="s">
        <v>831</v>
      </c>
      <c r="C222" s="820"/>
      <c r="D222" s="822"/>
      <c r="E222" s="822" t="s">
        <v>801</v>
      </c>
      <c r="F222" s="822"/>
      <c r="G222" s="822"/>
      <c r="H222" s="824">
        <f>'[70]KH 2023'!$C$213/1000</f>
        <v>300</v>
      </c>
      <c r="I222" s="822"/>
      <c r="J222" s="822"/>
      <c r="K222" s="822"/>
      <c r="L222" s="822"/>
      <c r="M222" s="822"/>
      <c r="N222" s="822"/>
      <c r="O222" s="822"/>
      <c r="P222" s="822"/>
      <c r="Q222" s="822"/>
      <c r="R222" s="822"/>
      <c r="S222" s="822"/>
      <c r="T222" s="822"/>
      <c r="U222" s="822">
        <f>H222*2</f>
        <v>600</v>
      </c>
    </row>
    <row r="223" spans="1:21" s="817" customFormat="1" ht="25.5" customHeight="1">
      <c r="A223" s="818" t="s">
        <v>70</v>
      </c>
      <c r="B223" s="827" t="str">
        <f>'[70]KH 2023'!$B$214</f>
        <v>Xây dựng mặt bằng khu vui chơi của xã cho trẻ em và người cao tuổi</v>
      </c>
      <c r="C223" s="820"/>
      <c r="D223" s="822"/>
      <c r="E223" s="822" t="s">
        <v>801</v>
      </c>
      <c r="F223" s="822"/>
      <c r="G223" s="822"/>
      <c r="H223" s="824">
        <f>'[70]KH 2023'!$C$214/1000</f>
        <v>2189</v>
      </c>
      <c r="I223" s="822"/>
      <c r="J223" s="822"/>
      <c r="K223" s="822"/>
      <c r="L223" s="822"/>
      <c r="M223" s="822"/>
      <c r="N223" s="822"/>
      <c r="O223" s="822"/>
      <c r="P223" s="822"/>
      <c r="Q223" s="822"/>
      <c r="R223" s="822"/>
      <c r="S223" s="822"/>
      <c r="T223" s="822"/>
      <c r="U223" s="822"/>
    </row>
    <row r="224" spans="1:21" s="847" customFormat="1" ht="15.75" customHeight="1">
      <c r="A224" s="791">
        <v>11</v>
      </c>
      <c r="B224" s="812" t="str">
        <f>'[70]KH 2023'!$B$215</f>
        <v>Xã Hồng Lạc</v>
      </c>
      <c r="C224" s="781"/>
      <c r="D224" s="793"/>
      <c r="E224" s="832">
        <v>2</v>
      </c>
      <c r="F224" s="832"/>
      <c r="G224" s="832"/>
      <c r="H224" s="783">
        <f>SUM(H225:H226)</f>
        <v>1078</v>
      </c>
      <c r="I224" s="828"/>
      <c r="J224" s="793"/>
      <c r="K224" s="793"/>
      <c r="L224" s="793"/>
      <c r="M224" s="793"/>
      <c r="N224" s="793"/>
      <c r="O224" s="793"/>
      <c r="P224" s="793"/>
      <c r="Q224" s="793"/>
      <c r="R224" s="793"/>
      <c r="S224" s="793"/>
      <c r="T224" s="793"/>
      <c r="U224" s="793"/>
    </row>
    <row r="225" spans="1:27" s="817" customFormat="1" ht="15.75" customHeight="1">
      <c r="A225" s="818" t="s">
        <v>70</v>
      </c>
      <c r="B225" s="827" t="str">
        <f>'[70]KH 2023'!$B$216</f>
        <v>Xây dựng nhà mái che Trường Mầm non Hồng Lạc</v>
      </c>
      <c r="C225" s="820"/>
      <c r="D225" s="822"/>
      <c r="E225" s="822" t="s">
        <v>801</v>
      </c>
      <c r="F225" s="822"/>
      <c r="G225" s="822"/>
      <c r="H225" s="824">
        <f>'[70]KH 2023'!$C$216/1000</f>
        <v>500</v>
      </c>
      <c r="I225" s="822"/>
      <c r="J225" s="822"/>
      <c r="K225" s="822"/>
      <c r="L225" s="822"/>
      <c r="M225" s="822"/>
      <c r="N225" s="822"/>
      <c r="O225" s="822"/>
      <c r="P225" s="822"/>
      <c r="Q225" s="822"/>
      <c r="R225" s="822"/>
      <c r="S225" s="822"/>
      <c r="T225" s="822"/>
      <c r="U225" s="822"/>
    </row>
    <row r="226" spans="1:27" s="817" customFormat="1" ht="29.25" customHeight="1">
      <c r="A226" s="818" t="s">
        <v>70</v>
      </c>
      <c r="B226" s="827" t="str">
        <f>'[70]KH 2023'!$B$217</f>
        <v>Xây dựng hạng mục phụ trợ (cổng, tường rào,…) 08 nhà văn hoá thôn</v>
      </c>
      <c r="C226" s="820"/>
      <c r="D226" s="822"/>
      <c r="E226" s="822" t="s">
        <v>801</v>
      </c>
      <c r="F226" s="822"/>
      <c r="G226" s="822"/>
      <c r="H226" s="824">
        <f>'[70]KH 2023'!$C$217/1000</f>
        <v>578</v>
      </c>
      <c r="I226" s="822"/>
      <c r="J226" s="822"/>
      <c r="K226" s="822"/>
      <c r="L226" s="822"/>
      <c r="M226" s="822"/>
      <c r="N226" s="822"/>
      <c r="O226" s="822"/>
      <c r="P226" s="822"/>
      <c r="Q226" s="822"/>
      <c r="R226" s="822"/>
      <c r="S226" s="822"/>
      <c r="T226" s="822"/>
      <c r="U226" s="822">
        <f>H226*2</f>
        <v>1156</v>
      </c>
    </row>
    <row r="227" spans="1:27" s="847" customFormat="1" ht="15.75" customHeight="1">
      <c r="A227" s="791">
        <v>12</v>
      </c>
      <c r="B227" s="812" t="str">
        <f>'[70]KH 2023'!$B$218</f>
        <v>Xã Trường Sinh</v>
      </c>
      <c r="C227" s="781"/>
      <c r="D227" s="793"/>
      <c r="E227" s="832">
        <v>1</v>
      </c>
      <c r="F227" s="832"/>
      <c r="G227" s="832"/>
      <c r="H227" s="783">
        <f>SUM(H228)</f>
        <v>1078</v>
      </c>
      <c r="I227" s="828"/>
      <c r="J227" s="793"/>
      <c r="K227" s="793"/>
      <c r="L227" s="793"/>
      <c r="M227" s="793"/>
      <c r="N227" s="793"/>
      <c r="O227" s="793"/>
      <c r="P227" s="793"/>
      <c r="Q227" s="793"/>
      <c r="R227" s="793"/>
      <c r="S227" s="793"/>
      <c r="T227" s="793"/>
      <c r="U227" s="793"/>
    </row>
    <row r="228" spans="1:27" s="817" customFormat="1" ht="25.5" customHeight="1">
      <c r="A228" s="818" t="s">
        <v>70</v>
      </c>
      <c r="B228" s="827" t="str">
        <f>'[70]KH 2023'!$B$219</f>
        <v>Xây dựng 2 phòng chức năng trường TH&amp;THCS Trường Sinh 1</v>
      </c>
      <c r="C228" s="820"/>
      <c r="D228" s="822"/>
      <c r="E228" s="822" t="s">
        <v>801</v>
      </c>
      <c r="F228" s="822"/>
      <c r="G228" s="822"/>
      <c r="H228" s="824">
        <f>'[70]KH 2023'!$C$219/1000</f>
        <v>1078</v>
      </c>
      <c r="I228" s="822"/>
      <c r="J228" s="822"/>
      <c r="K228" s="822"/>
      <c r="L228" s="822"/>
      <c r="M228" s="822"/>
      <c r="N228" s="822"/>
      <c r="O228" s="822"/>
      <c r="P228" s="822"/>
      <c r="Q228" s="822"/>
      <c r="R228" s="822"/>
      <c r="S228" s="822"/>
      <c r="T228" s="822"/>
      <c r="U228" s="822"/>
    </row>
    <row r="229" spans="1:27" s="759" customFormat="1" ht="22.5" customHeight="1">
      <c r="A229" s="841" t="s">
        <v>832</v>
      </c>
      <c r="B229" s="842" t="s">
        <v>860</v>
      </c>
      <c r="C229" s="843">
        <v>5</v>
      </c>
      <c r="D229" s="844">
        <v>5388.8372093023263</v>
      </c>
      <c r="E229" s="845">
        <f>E230+E233</f>
        <v>3</v>
      </c>
      <c r="F229" s="845"/>
      <c r="G229" s="845"/>
      <c r="H229" s="846">
        <f>H230+H233</f>
        <v>2850.8</v>
      </c>
      <c r="I229" s="844"/>
      <c r="J229" s="844">
        <v>7800</v>
      </c>
      <c r="K229" s="844">
        <v>2340</v>
      </c>
      <c r="L229" s="844">
        <v>0</v>
      </c>
      <c r="M229" s="844">
        <v>0</v>
      </c>
      <c r="N229" s="844">
        <v>0</v>
      </c>
      <c r="O229" s="844">
        <v>0</v>
      </c>
      <c r="P229" s="844">
        <v>868</v>
      </c>
      <c r="Q229" s="844">
        <v>0</v>
      </c>
      <c r="R229" s="844">
        <v>2538</v>
      </c>
      <c r="S229" s="844">
        <v>0</v>
      </c>
      <c r="T229" s="844">
        <v>2054</v>
      </c>
      <c r="U229" s="844"/>
    </row>
    <row r="230" spans="1:27" s="784" customFormat="1" ht="15.75" customHeight="1">
      <c r="A230" s="835">
        <v>1</v>
      </c>
      <c r="B230" s="836" t="s">
        <v>861</v>
      </c>
      <c r="C230" s="837"/>
      <c r="D230" s="838"/>
      <c r="E230" s="839">
        <v>2</v>
      </c>
      <c r="F230" s="839"/>
      <c r="G230" s="839"/>
      <c r="H230" s="840">
        <f>H231+H232</f>
        <v>1050</v>
      </c>
      <c r="I230" s="838"/>
      <c r="J230" s="838"/>
      <c r="K230" s="838"/>
      <c r="L230" s="838"/>
      <c r="M230" s="838"/>
      <c r="N230" s="838"/>
      <c r="O230" s="838"/>
      <c r="P230" s="838"/>
      <c r="Q230" s="838"/>
      <c r="R230" s="838"/>
      <c r="S230" s="838"/>
      <c r="T230" s="838"/>
      <c r="U230" s="838"/>
    </row>
    <row r="231" spans="1:27" s="817" customFormat="1" ht="15.75" customHeight="1">
      <c r="A231" s="818" t="s">
        <v>70</v>
      </c>
      <c r="B231" s="827" t="s">
        <v>819</v>
      </c>
      <c r="C231" s="820"/>
      <c r="D231" s="822"/>
      <c r="E231" s="822" t="s">
        <v>801</v>
      </c>
      <c r="F231" s="822"/>
      <c r="G231" s="822"/>
      <c r="H231" s="824">
        <v>250</v>
      </c>
      <c r="I231" s="822"/>
      <c r="J231" s="822"/>
      <c r="K231" s="822"/>
      <c r="L231" s="822"/>
      <c r="M231" s="822"/>
      <c r="N231" s="822"/>
      <c r="O231" s="822"/>
      <c r="P231" s="822"/>
      <c r="Q231" s="822"/>
      <c r="R231" s="822"/>
      <c r="S231" s="822"/>
      <c r="T231" s="822"/>
      <c r="U231" s="822"/>
    </row>
    <row r="232" spans="1:27" s="817" customFormat="1" ht="15.75" customHeight="1">
      <c r="A232" s="818" t="s">
        <v>70</v>
      </c>
      <c r="B232" s="827" t="s">
        <v>821</v>
      </c>
      <c r="C232" s="820"/>
      <c r="D232" s="822"/>
      <c r="E232" s="822" t="s">
        <v>801</v>
      </c>
      <c r="F232" s="822"/>
      <c r="G232" s="822"/>
      <c r="H232" s="824">
        <v>800</v>
      </c>
      <c r="I232" s="822"/>
      <c r="J232" s="822"/>
      <c r="K232" s="822"/>
      <c r="L232" s="822"/>
      <c r="M232" s="822"/>
      <c r="N232" s="822"/>
      <c r="O232" s="822"/>
      <c r="P232" s="822"/>
      <c r="Q232" s="822"/>
      <c r="R232" s="822"/>
      <c r="S232" s="822"/>
      <c r="T232" s="822"/>
      <c r="U232" s="822"/>
    </row>
    <row r="233" spans="1:27" s="784" customFormat="1" ht="15.75" customHeight="1">
      <c r="A233" s="835">
        <v>2</v>
      </c>
      <c r="B233" s="836" t="s">
        <v>862</v>
      </c>
      <c r="C233" s="837"/>
      <c r="D233" s="838"/>
      <c r="E233" s="839">
        <v>1</v>
      </c>
      <c r="F233" s="839"/>
      <c r="G233" s="839"/>
      <c r="H233" s="840">
        <f>H234</f>
        <v>1800.8000000000002</v>
      </c>
      <c r="I233" s="838"/>
      <c r="J233" s="838"/>
      <c r="K233" s="838"/>
      <c r="L233" s="838"/>
      <c r="M233" s="838"/>
      <c r="N233" s="838"/>
      <c r="O233" s="838"/>
      <c r="P233" s="838"/>
      <c r="Q233" s="838"/>
      <c r="R233" s="838"/>
      <c r="S233" s="838"/>
      <c r="T233" s="838"/>
      <c r="U233" s="838"/>
      <c r="V233" s="848"/>
    </row>
    <row r="234" spans="1:27" s="817" customFormat="1" ht="15.75" customHeight="1">
      <c r="A234" s="818" t="s">
        <v>70</v>
      </c>
      <c r="B234" s="827" t="s">
        <v>822</v>
      </c>
      <c r="C234" s="820"/>
      <c r="D234" s="822"/>
      <c r="E234" s="822" t="s">
        <v>801</v>
      </c>
      <c r="F234" s="822"/>
      <c r="G234" s="822"/>
      <c r="H234" s="824">
        <f>2850.8-H230</f>
        <v>1800.8000000000002</v>
      </c>
      <c r="I234" s="822"/>
      <c r="J234" s="822"/>
      <c r="K234" s="822"/>
      <c r="L234" s="822"/>
      <c r="M234" s="822"/>
      <c r="N234" s="822"/>
      <c r="O234" s="822"/>
      <c r="P234" s="822"/>
      <c r="Q234" s="822"/>
      <c r="R234" s="822"/>
      <c r="S234" s="822"/>
      <c r="T234" s="822"/>
      <c r="U234" s="822"/>
      <c r="V234" s="868"/>
    </row>
    <row r="235" spans="1:27" s="790" customFormat="1" ht="69.75" hidden="1" customHeight="1">
      <c r="A235" s="849"/>
      <c r="B235" s="850"/>
      <c r="C235" s="851"/>
      <c r="D235" s="852"/>
      <c r="E235" s="852"/>
      <c r="F235" s="852"/>
      <c r="G235" s="852"/>
      <c r="H235" s="852"/>
      <c r="I235" s="852"/>
      <c r="J235" s="852"/>
      <c r="K235" s="852"/>
      <c r="L235" s="852"/>
      <c r="M235" s="852"/>
      <c r="N235" s="852"/>
      <c r="O235" s="852"/>
      <c r="P235" s="852"/>
      <c r="Q235" s="852"/>
      <c r="R235" s="852"/>
      <c r="S235" s="852"/>
      <c r="T235" s="852"/>
      <c r="U235" s="852"/>
    </row>
    <row r="236" spans="1:27" s="790" customFormat="1" ht="69.75" hidden="1" customHeight="1">
      <c r="A236" s="849"/>
      <c r="B236" s="850"/>
      <c r="C236" s="851"/>
      <c r="D236" s="852"/>
      <c r="E236" s="852"/>
      <c r="F236" s="852"/>
      <c r="G236" s="852"/>
      <c r="H236" s="852"/>
      <c r="I236" s="852"/>
      <c r="J236" s="852"/>
      <c r="K236" s="852"/>
      <c r="L236" s="852"/>
      <c r="M236" s="852"/>
      <c r="N236" s="852"/>
      <c r="O236" s="852"/>
      <c r="P236" s="852"/>
      <c r="Q236" s="852"/>
      <c r="R236" s="852"/>
      <c r="S236" s="852"/>
      <c r="T236" s="852"/>
      <c r="U236" s="852"/>
    </row>
    <row r="237" spans="1:27" hidden="1">
      <c r="V237" s="855"/>
      <c r="W237" s="855"/>
      <c r="X237" s="855"/>
      <c r="Y237" s="855" t="s">
        <v>863</v>
      </c>
      <c r="Z237" s="856"/>
      <c r="AA237" s="856"/>
    </row>
    <row r="238" spans="1:27" hidden="1">
      <c r="V238" s="855"/>
      <c r="W238" s="857"/>
      <c r="X238" s="857"/>
      <c r="Y238" s="858">
        <v>2351</v>
      </c>
      <c r="Z238" s="856"/>
      <c r="AA238" s="856"/>
    </row>
    <row r="239" spans="1:27" hidden="1">
      <c r="V239" s="855"/>
      <c r="W239" s="857"/>
      <c r="X239" s="857"/>
      <c r="Y239" s="858">
        <v>0</v>
      </c>
      <c r="Z239" s="856"/>
      <c r="AA239" s="856"/>
    </row>
    <row r="240" spans="1:27" hidden="1">
      <c r="V240" s="855"/>
      <c r="W240" s="857"/>
      <c r="X240" s="857"/>
      <c r="Y240" s="858">
        <v>0</v>
      </c>
      <c r="Z240" s="856"/>
      <c r="AA240" s="856"/>
    </row>
    <row r="241" spans="22:27" hidden="1">
      <c r="V241" s="855"/>
      <c r="W241" s="857"/>
      <c r="X241" s="857"/>
      <c r="Y241" s="858">
        <v>0</v>
      </c>
      <c r="Z241" s="856"/>
      <c r="AA241" s="856"/>
    </row>
    <row r="242" spans="22:27" hidden="1">
      <c r="V242" s="855"/>
      <c r="W242" s="857"/>
      <c r="X242" s="857"/>
      <c r="Y242" s="858">
        <v>434</v>
      </c>
      <c r="Z242" s="856"/>
      <c r="AA242" s="856"/>
    </row>
    <row r="243" spans="22:27" hidden="1">
      <c r="V243" s="855"/>
      <c r="W243" s="857"/>
      <c r="X243" s="857"/>
      <c r="Y243" s="858">
        <v>0</v>
      </c>
      <c r="Z243" s="856"/>
      <c r="AA243" s="856"/>
    </row>
    <row r="244" spans="22:27" hidden="1">
      <c r="V244" s="855"/>
      <c r="W244" s="857"/>
      <c r="X244" s="857"/>
      <c r="Y244" s="858">
        <v>0</v>
      </c>
      <c r="Z244" s="856"/>
      <c r="AA244" s="856"/>
    </row>
    <row r="245" spans="22:27" hidden="1">
      <c r="V245" s="855"/>
      <c r="W245" s="855"/>
      <c r="X245" s="855"/>
      <c r="Y245" s="858">
        <v>0</v>
      </c>
      <c r="Z245" s="856"/>
      <c r="AA245" s="856"/>
    </row>
    <row r="246" spans="22:27" hidden="1">
      <c r="V246" s="855"/>
      <c r="W246" s="855"/>
      <c r="X246" s="855"/>
      <c r="Y246" s="858">
        <v>0</v>
      </c>
      <c r="Z246" s="856"/>
      <c r="AA246" s="856"/>
    </row>
    <row r="247" spans="22:27" hidden="1">
      <c r="V247" s="855"/>
      <c r="W247" s="855"/>
      <c r="X247" s="855"/>
      <c r="Y247" s="858">
        <v>345.59999999999991</v>
      </c>
      <c r="Z247" s="856"/>
      <c r="AA247" s="856"/>
    </row>
    <row r="248" spans="22:27" hidden="1">
      <c r="V248" s="855"/>
      <c r="W248" s="855"/>
      <c r="X248" s="855"/>
      <c r="Y248" s="858">
        <v>2710.6</v>
      </c>
      <c r="Z248" s="856"/>
      <c r="AA248" s="856"/>
    </row>
    <row r="249" spans="22:27" hidden="1">
      <c r="V249" s="855"/>
      <c r="W249" s="855"/>
      <c r="X249" s="855"/>
      <c r="Y249" s="858">
        <v>0</v>
      </c>
      <c r="Z249" s="856"/>
      <c r="AA249" s="856"/>
    </row>
    <row r="250" spans="22:27" hidden="1">
      <c r="V250" s="855"/>
      <c r="W250" s="855"/>
      <c r="X250" s="855"/>
      <c r="Y250" s="858">
        <v>2764.9</v>
      </c>
      <c r="Z250" s="856"/>
      <c r="AA250" s="856"/>
    </row>
    <row r="251" spans="22:27" hidden="1">
      <c r="V251" s="855"/>
      <c r="W251" s="855"/>
      <c r="X251" s="855"/>
      <c r="Y251" s="858">
        <v>0</v>
      </c>
      <c r="Z251" s="856"/>
      <c r="AA251" s="856"/>
    </row>
    <row r="252" spans="22:27" hidden="1">
      <c r="V252" s="855"/>
      <c r="W252" s="855"/>
      <c r="X252" s="855"/>
      <c r="Y252" s="858">
        <v>0</v>
      </c>
      <c r="Z252" s="856"/>
      <c r="AA252" s="856"/>
    </row>
    <row r="253" spans="22:27" hidden="1">
      <c r="V253" s="855"/>
      <c r="W253" s="855"/>
      <c r="X253" s="855"/>
      <c r="Y253" s="855">
        <v>8606.1</v>
      </c>
      <c r="Z253" s="856"/>
      <c r="AA253" s="856"/>
    </row>
    <row r="254" spans="22:27" hidden="1">
      <c r="V254" s="1473"/>
      <c r="W254" s="1474"/>
      <c r="X254" s="1475"/>
      <c r="Y254" s="855">
        <v>8606.1</v>
      </c>
      <c r="Z254" s="856"/>
      <c r="AA254" s="856"/>
    </row>
    <row r="255" spans="22:27" hidden="1">
      <c r="V255" s="856"/>
      <c r="W255" s="856"/>
      <c r="X255" s="856"/>
      <c r="Y255" s="763"/>
      <c r="Z255" s="856"/>
      <c r="AA255" s="856"/>
    </row>
    <row r="256" spans="22:27" hidden="1">
      <c r="V256" s="856"/>
      <c r="W256" s="856"/>
      <c r="X256" s="856"/>
      <c r="Y256" s="856">
        <v>56015</v>
      </c>
      <c r="Z256" s="856" t="s">
        <v>864</v>
      </c>
      <c r="AA256" s="856"/>
    </row>
    <row r="257" spans="22:27" hidden="1">
      <c r="V257" s="1476"/>
      <c r="W257" s="1476"/>
      <c r="X257" s="1476"/>
      <c r="Y257" s="856">
        <v>56015</v>
      </c>
      <c r="Z257" s="856"/>
      <c r="AA257" s="856"/>
    </row>
    <row r="258" spans="22:27" hidden="1">
      <c r="V258" s="859"/>
      <c r="W258" s="855"/>
      <c r="X258" s="1477"/>
      <c r="Y258" s="856"/>
      <c r="Z258" s="853"/>
      <c r="AA258" s="853"/>
    </row>
    <row r="259" spans="22:27" hidden="1">
      <c r="V259" s="859"/>
      <c r="W259" s="855"/>
      <c r="X259" s="1477"/>
      <c r="Y259" s="856">
        <v>64621.1</v>
      </c>
      <c r="Z259" s="856" t="s">
        <v>865</v>
      </c>
      <c r="AA259" s="853"/>
    </row>
    <row r="260" spans="22:27" hidden="1">
      <c r="V260" s="859"/>
      <c r="W260" s="855"/>
      <c r="X260" s="1477"/>
      <c r="Y260" s="853"/>
      <c r="Z260" s="853"/>
      <c r="AA260" s="853"/>
    </row>
    <row r="261" spans="22:27" hidden="1">
      <c r="V261" s="859"/>
      <c r="W261" s="855"/>
      <c r="X261" s="1477"/>
      <c r="Y261" s="853"/>
      <c r="Z261" s="853"/>
      <c r="AA261" s="853"/>
    </row>
    <row r="262" spans="22:27" hidden="1">
      <c r="V262" s="859"/>
      <c r="W262" s="855"/>
      <c r="X262" s="1477"/>
      <c r="Y262" s="853"/>
      <c r="Z262" s="853"/>
      <c r="AA262" s="853"/>
    </row>
    <row r="263" spans="22:27" hidden="1">
      <c r="V263" s="859"/>
      <c r="W263" s="855"/>
      <c r="X263" s="1477"/>
      <c r="Y263" s="853"/>
      <c r="Z263" s="853"/>
      <c r="AA263" s="853"/>
    </row>
    <row r="264" spans="22:27" hidden="1"/>
    <row r="265" spans="22:27" hidden="1"/>
    <row r="266" spans="22:27" hidden="1"/>
    <row r="267" spans="22:27" hidden="1"/>
  </sheetData>
  <mergeCells count="26">
    <mergeCell ref="A10:B10"/>
    <mergeCell ref="V254:X254"/>
    <mergeCell ref="V257:X257"/>
    <mergeCell ref="X258:X263"/>
    <mergeCell ref="Q3:S3"/>
    <mergeCell ref="T3:T5"/>
    <mergeCell ref="U3:U5"/>
    <mergeCell ref="Q4:Q5"/>
    <mergeCell ref="R4:R5"/>
    <mergeCell ref="S4:S5"/>
    <mergeCell ref="A1:U1"/>
    <mergeCell ref="A2:U2"/>
    <mergeCell ref="A3:A5"/>
    <mergeCell ref="B3:B5"/>
    <mergeCell ref="C3:D4"/>
    <mergeCell ref="E3:E4"/>
    <mergeCell ref="G3:G4"/>
    <mergeCell ref="H3:H5"/>
    <mergeCell ref="I3:I5"/>
    <mergeCell ref="J3:J5"/>
    <mergeCell ref="K3:K5"/>
    <mergeCell ref="L3:L5"/>
    <mergeCell ref="M3:M5"/>
    <mergeCell ref="N3:N5"/>
    <mergeCell ref="O3:O5"/>
    <mergeCell ref="P3:P5"/>
  </mergeCells>
  <pageMargins left="0.5" right="0.25" top="0.25" bottom="0.5" header="0" footer="0"/>
  <pageSetup paperSize="9" orientation="portrait"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sheetPr>
    <tabColor rgb="FFFFFF00"/>
  </sheetPr>
  <dimension ref="A1:V19"/>
  <sheetViews>
    <sheetView workbookViewId="0">
      <selection activeCell="E25" sqref="E25"/>
    </sheetView>
  </sheetViews>
  <sheetFormatPr defaultRowHeight="15"/>
  <cols>
    <col min="1" max="1" width="5" style="333" customWidth="1"/>
    <col min="4" max="4" width="9" style="104" customWidth="1"/>
    <col min="5" max="19" width="0" hidden="1" customWidth="1"/>
  </cols>
  <sheetData>
    <row r="1" spans="1:22" ht="15.75">
      <c r="A1" s="3"/>
      <c r="B1" s="4"/>
      <c r="C1" s="4"/>
      <c r="D1" s="334"/>
      <c r="E1" s="4"/>
      <c r="F1" s="4"/>
      <c r="G1" s="4"/>
      <c r="H1" s="4"/>
      <c r="I1" s="4"/>
      <c r="J1" s="4"/>
      <c r="K1" s="4"/>
      <c r="L1" s="4"/>
      <c r="M1" s="4"/>
      <c r="N1" s="4"/>
      <c r="O1" s="4"/>
      <c r="P1" s="4"/>
      <c r="Q1" s="4" t="s">
        <v>207</v>
      </c>
      <c r="R1" s="4"/>
      <c r="S1" s="4"/>
      <c r="T1" s="4"/>
      <c r="U1" s="4"/>
      <c r="V1" s="4"/>
    </row>
    <row r="2" spans="1:22" ht="15.75">
      <c r="A2" s="3" t="s">
        <v>208</v>
      </c>
      <c r="B2" s="4"/>
      <c r="C2" s="4"/>
      <c r="D2" s="334"/>
      <c r="E2" s="4"/>
      <c r="F2" s="4"/>
      <c r="G2" s="4"/>
      <c r="H2" s="4"/>
      <c r="I2" s="4"/>
      <c r="J2" s="4"/>
      <c r="K2" s="4"/>
      <c r="L2" s="4"/>
      <c r="M2" s="4"/>
      <c r="N2" s="4"/>
      <c r="O2" s="4"/>
      <c r="P2" s="4"/>
      <c r="Q2" s="4"/>
      <c r="R2" s="4"/>
      <c r="S2" s="4"/>
      <c r="T2" s="4"/>
      <c r="U2" s="4"/>
      <c r="V2" s="4"/>
    </row>
    <row r="3" spans="1:22" ht="15.75">
      <c r="A3" s="3" t="s">
        <v>209</v>
      </c>
      <c r="B3" s="4"/>
      <c r="C3" s="4"/>
      <c r="D3" s="334"/>
      <c r="E3" s="4"/>
      <c r="F3" s="4"/>
      <c r="G3" s="4"/>
      <c r="H3" s="4"/>
      <c r="I3" s="4"/>
      <c r="J3" s="4"/>
      <c r="K3" s="4"/>
      <c r="L3" s="4"/>
      <c r="M3" s="4"/>
      <c r="N3" s="4"/>
      <c r="O3" s="4"/>
      <c r="P3" s="4"/>
      <c r="Q3" s="4"/>
      <c r="R3" s="4"/>
      <c r="S3" s="4"/>
      <c r="T3" s="4"/>
      <c r="U3" s="4"/>
      <c r="V3" s="4"/>
    </row>
    <row r="4" spans="1:22" ht="15.75">
      <c r="A4" s="3"/>
      <c r="B4" s="4"/>
      <c r="C4" s="4"/>
      <c r="D4" s="334"/>
      <c r="E4" s="4"/>
      <c r="F4" s="4"/>
      <c r="G4" s="4"/>
      <c r="H4" s="4"/>
      <c r="I4" s="4"/>
      <c r="J4" s="4"/>
      <c r="K4" s="4"/>
      <c r="L4" s="4"/>
      <c r="M4" s="4"/>
      <c r="N4" s="4"/>
      <c r="O4" s="4"/>
      <c r="P4" s="4"/>
      <c r="Q4" s="4"/>
      <c r="R4" s="4"/>
      <c r="S4" s="4"/>
      <c r="T4" s="4"/>
      <c r="U4" s="4"/>
      <c r="V4" s="4"/>
    </row>
    <row r="5" spans="1:22" ht="15.75">
      <c r="A5" s="29" t="s">
        <v>61</v>
      </c>
      <c r="B5" s="112" t="s">
        <v>210</v>
      </c>
      <c r="C5" s="112" t="s">
        <v>211</v>
      </c>
      <c r="D5" s="113" t="s">
        <v>212</v>
      </c>
      <c r="E5" s="112" t="s">
        <v>213</v>
      </c>
      <c r="F5" s="112"/>
      <c r="G5" s="112"/>
      <c r="H5" s="112"/>
      <c r="I5" s="112"/>
      <c r="J5" s="112"/>
      <c r="K5" s="112"/>
      <c r="L5" s="112" t="s">
        <v>214</v>
      </c>
      <c r="M5" s="112"/>
      <c r="N5" s="112"/>
      <c r="O5" s="112"/>
      <c r="P5" s="112"/>
      <c r="Q5" s="112"/>
      <c r="R5" s="112"/>
      <c r="S5" s="112"/>
      <c r="T5" s="112"/>
      <c r="U5" s="112"/>
      <c r="V5" s="112"/>
    </row>
    <row r="6" spans="1:22" ht="15.75">
      <c r="A6" s="29"/>
      <c r="B6" s="112"/>
      <c r="C6" s="112"/>
      <c r="D6" s="113"/>
      <c r="E6" s="112" t="s">
        <v>215</v>
      </c>
      <c r="F6" s="112" t="s">
        <v>216</v>
      </c>
      <c r="G6" s="112" t="s">
        <v>217</v>
      </c>
      <c r="H6" s="112"/>
      <c r="I6" s="112" t="s">
        <v>218</v>
      </c>
      <c r="J6" s="112"/>
      <c r="K6" s="112"/>
      <c r="L6" s="112" t="s">
        <v>215</v>
      </c>
      <c r="M6" s="112" t="s">
        <v>216</v>
      </c>
      <c r="N6" s="112" t="s">
        <v>217</v>
      </c>
      <c r="O6" s="112"/>
      <c r="P6" s="112" t="s">
        <v>218</v>
      </c>
      <c r="Q6" s="112"/>
      <c r="R6" s="112"/>
      <c r="S6" s="112" t="s">
        <v>219</v>
      </c>
      <c r="T6" s="112"/>
      <c r="U6" s="112"/>
      <c r="V6" s="112"/>
    </row>
    <row r="7" spans="1:22" ht="15.75">
      <c r="A7" s="29"/>
      <c r="B7" s="112"/>
      <c r="C7" s="112"/>
      <c r="D7" s="113"/>
      <c r="E7" s="112"/>
      <c r="F7" s="112"/>
      <c r="G7" s="112" t="s">
        <v>220</v>
      </c>
      <c r="H7" s="112" t="s">
        <v>221</v>
      </c>
      <c r="I7" s="112" t="s">
        <v>220</v>
      </c>
      <c r="J7" s="112" t="s">
        <v>221</v>
      </c>
      <c r="K7" s="112" t="s">
        <v>222</v>
      </c>
      <c r="L7" s="112"/>
      <c r="M7" s="112"/>
      <c r="N7" s="112" t="s">
        <v>220</v>
      </c>
      <c r="O7" s="112" t="s">
        <v>221</v>
      </c>
      <c r="P7" s="112" t="s">
        <v>220</v>
      </c>
      <c r="Q7" s="112" t="s">
        <v>221</v>
      </c>
      <c r="R7" s="112" t="s">
        <v>222</v>
      </c>
      <c r="S7" s="112"/>
      <c r="T7" s="112">
        <v>80</v>
      </c>
      <c r="U7" s="112">
        <v>20</v>
      </c>
      <c r="V7" s="112"/>
    </row>
    <row r="8" spans="1:22" ht="15.75">
      <c r="A8" s="29" t="s">
        <v>133</v>
      </c>
      <c r="B8" s="112" t="s">
        <v>140</v>
      </c>
      <c r="C8" s="112" t="s">
        <v>60</v>
      </c>
      <c r="D8" s="113">
        <v>1</v>
      </c>
      <c r="E8" s="112">
        <v>2</v>
      </c>
      <c r="F8" s="112">
        <v>3</v>
      </c>
      <c r="G8" s="112">
        <v>4</v>
      </c>
      <c r="H8" s="112">
        <v>5</v>
      </c>
      <c r="I8" s="112">
        <v>6</v>
      </c>
      <c r="J8" s="112">
        <v>7</v>
      </c>
      <c r="K8" s="112">
        <v>8</v>
      </c>
      <c r="L8" s="112">
        <v>9</v>
      </c>
      <c r="M8" s="112">
        <v>10</v>
      </c>
      <c r="N8" s="112">
        <v>11</v>
      </c>
      <c r="O8" s="112">
        <v>12</v>
      </c>
      <c r="P8" s="112">
        <v>13</v>
      </c>
      <c r="Q8" s="112">
        <v>14</v>
      </c>
      <c r="R8" s="112">
        <v>15</v>
      </c>
      <c r="S8" s="112">
        <v>16</v>
      </c>
      <c r="T8" s="112" t="s">
        <v>132</v>
      </c>
      <c r="U8" s="112" t="s">
        <v>223</v>
      </c>
      <c r="V8" s="112" t="s">
        <v>91</v>
      </c>
    </row>
    <row r="9" spans="1:22" ht="15.75">
      <c r="A9" s="29"/>
      <c r="B9" s="112" t="s">
        <v>153</v>
      </c>
      <c r="C9" s="112">
        <v>62700</v>
      </c>
      <c r="D9" s="113">
        <v>62652</v>
      </c>
      <c r="E9" s="112">
        <v>1219</v>
      </c>
      <c r="F9" s="112">
        <v>757</v>
      </c>
      <c r="G9" s="112">
        <v>3</v>
      </c>
      <c r="H9" s="112">
        <v>0</v>
      </c>
      <c r="I9" s="112">
        <v>4</v>
      </c>
      <c r="J9" s="112">
        <v>0</v>
      </c>
      <c r="K9" s="112">
        <v>1</v>
      </c>
      <c r="L9" s="112">
        <v>23020.06572769953</v>
      </c>
      <c r="M9" s="112">
        <v>9630.1844660194165</v>
      </c>
      <c r="N9" s="112">
        <v>119</v>
      </c>
      <c r="O9" s="112">
        <v>137</v>
      </c>
      <c r="P9" s="112">
        <v>27</v>
      </c>
      <c r="Q9" s="112">
        <v>31</v>
      </c>
      <c r="R9" s="112">
        <v>3</v>
      </c>
      <c r="S9" s="112">
        <v>35057.250193718952</v>
      </c>
      <c r="T9" s="112">
        <v>47696.759662678334</v>
      </c>
      <c r="U9" s="112">
        <v>11924.189915669582</v>
      </c>
      <c r="V9" s="112">
        <v>59620.949578347914</v>
      </c>
    </row>
    <row r="10" spans="1:22" ht="15.75">
      <c r="A10" s="29">
        <v>1</v>
      </c>
      <c r="B10" s="112" t="s">
        <v>145</v>
      </c>
      <c r="C10" s="112">
        <v>3800</v>
      </c>
      <c r="D10" s="113">
        <v>4189</v>
      </c>
      <c r="E10" s="112">
        <v>0</v>
      </c>
      <c r="F10" s="112">
        <v>0</v>
      </c>
      <c r="G10" s="112">
        <v>0</v>
      </c>
      <c r="H10" s="112">
        <v>0</v>
      </c>
      <c r="I10" s="112">
        <v>0</v>
      </c>
      <c r="J10" s="112">
        <v>0</v>
      </c>
      <c r="K10" s="112">
        <v>0</v>
      </c>
      <c r="L10" s="112">
        <v>1248</v>
      </c>
      <c r="M10" s="112">
        <v>1456</v>
      </c>
      <c r="N10" s="112">
        <v>9</v>
      </c>
      <c r="O10" s="112">
        <v>17</v>
      </c>
      <c r="P10" s="112">
        <v>4</v>
      </c>
      <c r="Q10" s="112">
        <v>1</v>
      </c>
      <c r="R10" s="112">
        <v>0</v>
      </c>
      <c r="S10" s="112">
        <v>2795</v>
      </c>
      <c r="T10" s="112">
        <v>3691.6149999999998</v>
      </c>
      <c r="U10" s="112">
        <v>922.90374999999995</v>
      </c>
      <c r="V10" s="112">
        <v>4614.5187499999993</v>
      </c>
    </row>
    <row r="11" spans="1:22" ht="15.75">
      <c r="A11" s="29">
        <v>2</v>
      </c>
      <c r="B11" s="112" t="s">
        <v>102</v>
      </c>
      <c r="C11" s="112">
        <v>15500</v>
      </c>
      <c r="D11" s="113">
        <v>15097</v>
      </c>
      <c r="E11" s="112">
        <v>282</v>
      </c>
      <c r="F11" s="112">
        <v>67</v>
      </c>
      <c r="G11" s="112">
        <v>0</v>
      </c>
      <c r="H11" s="112">
        <v>0</v>
      </c>
      <c r="I11" s="112">
        <v>0</v>
      </c>
      <c r="J11" s="112">
        <v>0</v>
      </c>
      <c r="K11" s="112">
        <v>0</v>
      </c>
      <c r="L11" s="112">
        <v>5933</v>
      </c>
      <c r="M11" s="112">
        <v>1647</v>
      </c>
      <c r="N11" s="112">
        <v>40</v>
      </c>
      <c r="O11" s="112">
        <v>38</v>
      </c>
      <c r="P11" s="112">
        <v>6</v>
      </c>
      <c r="Q11" s="112">
        <v>10</v>
      </c>
      <c r="R11" s="112">
        <v>0</v>
      </c>
      <c r="S11" s="112">
        <v>8162</v>
      </c>
      <c r="T11" s="112">
        <v>12479.5605</v>
      </c>
      <c r="U11" s="112">
        <v>3119.8901249999999</v>
      </c>
      <c r="V11" s="112">
        <v>15599.450624999999</v>
      </c>
    </row>
    <row r="12" spans="1:22" ht="15.75">
      <c r="A12" s="29">
        <v>3</v>
      </c>
      <c r="B12" s="112" t="s">
        <v>98</v>
      </c>
      <c r="C12" s="112">
        <v>9100</v>
      </c>
      <c r="D12" s="113">
        <v>9053</v>
      </c>
      <c r="E12" s="112">
        <v>60</v>
      </c>
      <c r="F12" s="112">
        <v>302</v>
      </c>
      <c r="G12" s="112">
        <v>1</v>
      </c>
      <c r="H12" s="112">
        <v>0</v>
      </c>
      <c r="I12" s="112">
        <v>0</v>
      </c>
      <c r="J12" s="112">
        <v>0</v>
      </c>
      <c r="K12" s="112">
        <v>0</v>
      </c>
      <c r="L12" s="112">
        <v>3221</v>
      </c>
      <c r="M12" s="112">
        <v>1692</v>
      </c>
      <c r="N12" s="112">
        <v>3</v>
      </c>
      <c r="O12" s="112">
        <v>6</v>
      </c>
      <c r="P12" s="112">
        <v>0</v>
      </c>
      <c r="Q12" s="112">
        <v>0</v>
      </c>
      <c r="R12" s="112">
        <v>0</v>
      </c>
      <c r="S12" s="112">
        <v>5373</v>
      </c>
      <c r="T12" s="112">
        <v>7230.4900000000007</v>
      </c>
      <c r="U12" s="112">
        <v>1807.6225000000002</v>
      </c>
      <c r="V12" s="112">
        <v>9038.1125000000011</v>
      </c>
    </row>
    <row r="13" spans="1:22" ht="15.75">
      <c r="A13" s="29">
        <v>4</v>
      </c>
      <c r="B13" s="112" t="s">
        <v>99</v>
      </c>
      <c r="C13" s="112">
        <v>6500</v>
      </c>
      <c r="D13" s="113">
        <v>7322</v>
      </c>
      <c r="E13" s="112">
        <v>0</v>
      </c>
      <c r="F13" s="112">
        <v>122</v>
      </c>
      <c r="G13" s="112">
        <v>0</v>
      </c>
      <c r="H13" s="112">
        <v>0</v>
      </c>
      <c r="I13" s="112">
        <v>0</v>
      </c>
      <c r="J13" s="112">
        <v>0</v>
      </c>
      <c r="K13" s="112">
        <v>0</v>
      </c>
      <c r="L13" s="112">
        <v>2655</v>
      </c>
      <c r="M13" s="112">
        <v>1428</v>
      </c>
      <c r="N13" s="112">
        <v>29</v>
      </c>
      <c r="O13" s="112">
        <v>34</v>
      </c>
      <c r="P13" s="112">
        <v>4</v>
      </c>
      <c r="Q13" s="112">
        <v>4</v>
      </c>
      <c r="R13" s="112">
        <v>0</v>
      </c>
      <c r="S13" s="112">
        <v>4423</v>
      </c>
      <c r="T13" s="112">
        <v>5500.5470000000014</v>
      </c>
      <c r="U13" s="112">
        <v>1375.1367500000003</v>
      </c>
      <c r="V13" s="112">
        <v>6875.6837500000011</v>
      </c>
    </row>
    <row r="14" spans="1:22" ht="15.75">
      <c r="A14" s="29">
        <v>5</v>
      </c>
      <c r="B14" s="112" t="s">
        <v>101</v>
      </c>
      <c r="C14" s="112">
        <v>17000</v>
      </c>
      <c r="D14" s="113">
        <v>17000</v>
      </c>
      <c r="E14" s="112">
        <v>592</v>
      </c>
      <c r="F14" s="112">
        <v>156</v>
      </c>
      <c r="G14" s="112">
        <v>1</v>
      </c>
      <c r="H14" s="112">
        <v>0</v>
      </c>
      <c r="I14" s="112">
        <v>3</v>
      </c>
      <c r="J14" s="112">
        <v>0</v>
      </c>
      <c r="K14" s="112">
        <v>1</v>
      </c>
      <c r="L14" s="112">
        <v>6280.9342723004693</v>
      </c>
      <c r="M14" s="112">
        <v>2074.8349514563106</v>
      </c>
      <c r="N14" s="112">
        <v>22</v>
      </c>
      <c r="O14" s="112">
        <v>26</v>
      </c>
      <c r="P14" s="112">
        <v>5</v>
      </c>
      <c r="Q14" s="112">
        <v>6</v>
      </c>
      <c r="R14" s="112">
        <v>1</v>
      </c>
      <c r="S14" s="112">
        <v>8698.769223756779</v>
      </c>
      <c r="T14" s="112">
        <v>11908.385652217512</v>
      </c>
      <c r="U14" s="112">
        <v>2977.096413054378</v>
      </c>
      <c r="V14" s="112">
        <v>14885.48206527189</v>
      </c>
    </row>
    <row r="15" spans="1:22" ht="15.75">
      <c r="A15" s="29">
        <v>6</v>
      </c>
      <c r="B15" s="112" t="s">
        <v>100</v>
      </c>
      <c r="C15" s="112">
        <v>7500</v>
      </c>
      <c r="D15" s="113">
        <v>7500</v>
      </c>
      <c r="E15" s="112">
        <v>285</v>
      </c>
      <c r="F15" s="112">
        <v>110</v>
      </c>
      <c r="G15" s="112">
        <v>1</v>
      </c>
      <c r="H15" s="112">
        <v>0</v>
      </c>
      <c r="I15" s="112">
        <v>1</v>
      </c>
      <c r="J15" s="112">
        <v>0</v>
      </c>
      <c r="K15" s="112">
        <v>0</v>
      </c>
      <c r="L15" s="112">
        <v>2654</v>
      </c>
      <c r="M15" s="112">
        <v>1044</v>
      </c>
      <c r="N15" s="112">
        <v>15</v>
      </c>
      <c r="O15" s="112">
        <v>15</v>
      </c>
      <c r="P15" s="112">
        <v>7</v>
      </c>
      <c r="Q15" s="112">
        <v>10</v>
      </c>
      <c r="R15" s="112">
        <v>2</v>
      </c>
      <c r="S15" s="112">
        <v>4271</v>
      </c>
      <c r="T15" s="112">
        <v>5323.6819999999998</v>
      </c>
      <c r="U15" s="112">
        <v>1330.9204999999999</v>
      </c>
      <c r="V15" s="112">
        <v>6654.6024999999991</v>
      </c>
    </row>
    <row r="16" spans="1:22" ht="15.75">
      <c r="A16" s="29">
        <v>7</v>
      </c>
      <c r="B16" s="112" t="s">
        <v>185</v>
      </c>
      <c r="C16" s="112">
        <v>3300</v>
      </c>
      <c r="D16" s="113">
        <v>2491</v>
      </c>
      <c r="E16" s="112">
        <v>0</v>
      </c>
      <c r="F16" s="112">
        <v>0</v>
      </c>
      <c r="G16" s="112">
        <v>0</v>
      </c>
      <c r="H16" s="112">
        <v>0</v>
      </c>
      <c r="I16" s="112">
        <v>0</v>
      </c>
      <c r="J16" s="112">
        <v>0</v>
      </c>
      <c r="K16" s="112">
        <v>0</v>
      </c>
      <c r="L16" s="112">
        <v>1028.131455399061</v>
      </c>
      <c r="M16" s="112">
        <v>288.34951456310677</v>
      </c>
      <c r="N16" s="112">
        <v>1</v>
      </c>
      <c r="O16" s="112">
        <v>1</v>
      </c>
      <c r="P16" s="112">
        <v>1</v>
      </c>
      <c r="Q16" s="112">
        <v>0</v>
      </c>
      <c r="R16" s="112">
        <v>0</v>
      </c>
      <c r="S16" s="112">
        <v>1334.4809699621678</v>
      </c>
      <c r="T16" s="112">
        <v>1562.4795104608233</v>
      </c>
      <c r="U16" s="112">
        <v>390.61987761520584</v>
      </c>
      <c r="V16" s="112">
        <v>1953.0993880760291</v>
      </c>
    </row>
    <row r="17" spans="1:22" ht="15.75">
      <c r="A17" s="29"/>
      <c r="B17" s="112"/>
      <c r="C17" s="112"/>
      <c r="D17" s="113"/>
      <c r="E17" s="112"/>
      <c r="F17" s="112"/>
      <c r="G17" s="112"/>
      <c r="H17" s="112"/>
      <c r="I17" s="112"/>
      <c r="J17" s="112"/>
      <c r="K17" s="112"/>
      <c r="L17" s="112"/>
      <c r="M17" s="112"/>
      <c r="N17" s="112"/>
      <c r="O17" s="112"/>
      <c r="P17" s="112"/>
      <c r="Q17" s="112"/>
      <c r="R17" s="112"/>
      <c r="S17" s="112"/>
      <c r="T17" s="112"/>
      <c r="U17" s="112"/>
      <c r="V17" s="112"/>
    </row>
    <row r="18" spans="1:22" ht="15.75">
      <c r="A18" s="29"/>
      <c r="B18" s="112" t="s">
        <v>224</v>
      </c>
      <c r="C18" s="112"/>
      <c r="D18" s="113"/>
      <c r="E18" s="112"/>
      <c r="F18" s="112"/>
      <c r="G18" s="112"/>
      <c r="H18" s="112"/>
      <c r="I18" s="112"/>
      <c r="J18" s="112"/>
      <c r="K18" s="112"/>
      <c r="L18" s="112"/>
      <c r="M18" s="112"/>
      <c r="N18" s="112"/>
      <c r="O18" s="112"/>
      <c r="P18" s="112"/>
      <c r="Q18" s="112"/>
      <c r="R18" s="112"/>
      <c r="S18" s="112"/>
      <c r="T18" s="112"/>
      <c r="U18" s="112"/>
      <c r="V18" s="112"/>
    </row>
    <row r="19" spans="1:22" ht="15.75">
      <c r="A19" s="29"/>
      <c r="B19" s="112" t="s">
        <v>225</v>
      </c>
      <c r="C19" s="112"/>
      <c r="D19" s="113"/>
      <c r="E19" s="112"/>
      <c r="F19" s="112"/>
      <c r="G19" s="112"/>
      <c r="H19" s="112"/>
      <c r="I19" s="112"/>
      <c r="J19" s="112"/>
      <c r="K19" s="112"/>
      <c r="L19" s="112"/>
      <c r="M19" s="112"/>
      <c r="N19" s="112"/>
      <c r="O19" s="112"/>
      <c r="P19" s="112"/>
      <c r="Q19" s="112"/>
      <c r="R19" s="112"/>
      <c r="S19" s="112"/>
      <c r="T19" s="112"/>
      <c r="U19" s="112"/>
      <c r="V19" s="1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FF00"/>
  </sheetPr>
  <dimension ref="A1:Z17"/>
  <sheetViews>
    <sheetView topLeftCell="A7" workbookViewId="0">
      <selection activeCell="E25" sqref="E25"/>
    </sheetView>
  </sheetViews>
  <sheetFormatPr defaultRowHeight="15"/>
  <cols>
    <col min="3" max="3" width="14.5" customWidth="1"/>
    <col min="10" max="10" width="11.875" customWidth="1"/>
    <col min="11" max="13" width="11.875" hidden="1" customWidth="1"/>
    <col min="14" max="15" width="0" hidden="1" customWidth="1"/>
    <col min="23" max="24" width="9.125" customWidth="1"/>
  </cols>
  <sheetData>
    <row r="1" spans="1:26" ht="18">
      <c r="A1" s="114" t="s">
        <v>162</v>
      </c>
      <c r="B1" s="115"/>
      <c r="C1" s="115"/>
      <c r="D1" s="116"/>
      <c r="E1" s="116"/>
      <c r="F1" s="116"/>
      <c r="G1" s="116"/>
      <c r="H1" s="116"/>
      <c r="I1" s="116"/>
      <c r="J1" s="116"/>
      <c r="K1" s="117"/>
      <c r="L1" s="117"/>
      <c r="M1" s="117"/>
      <c r="N1" s="117"/>
      <c r="O1" s="118" t="s">
        <v>155</v>
      </c>
    </row>
    <row r="2" spans="1:26" ht="18.75">
      <c r="A2" s="1483" t="s">
        <v>226</v>
      </c>
      <c r="B2" s="1483"/>
      <c r="C2" s="1483"/>
      <c r="D2" s="1483"/>
      <c r="E2" s="1483"/>
      <c r="F2" s="1483"/>
      <c r="G2" s="1483"/>
      <c r="H2" s="1483"/>
      <c r="I2" s="1483"/>
      <c r="J2" s="1483"/>
      <c r="K2" s="1483"/>
      <c r="L2" s="1483"/>
      <c r="M2" s="1483"/>
      <c r="N2" s="1483"/>
      <c r="O2" s="1483"/>
    </row>
    <row r="3" spans="1:26" ht="18.75">
      <c r="A3" s="1483" t="s">
        <v>227</v>
      </c>
      <c r="B3" s="1483"/>
      <c r="C3" s="1483"/>
      <c r="D3" s="1483"/>
      <c r="E3" s="1483"/>
      <c r="F3" s="1483"/>
      <c r="G3" s="1483"/>
      <c r="H3" s="1483"/>
      <c r="I3" s="1483"/>
      <c r="J3" s="1483"/>
      <c r="K3" s="1483"/>
      <c r="L3" s="1483"/>
      <c r="M3" s="1483"/>
      <c r="N3" s="1483"/>
      <c r="O3" s="1483"/>
    </row>
    <row r="4" spans="1:26" ht="18.75">
      <c r="A4" s="1484" t="s">
        <v>228</v>
      </c>
      <c r="B4" s="1484"/>
      <c r="C4" s="1484"/>
      <c r="D4" s="1484"/>
      <c r="E4" s="1484"/>
      <c r="F4" s="1484"/>
      <c r="G4" s="1484"/>
      <c r="H4" s="1484"/>
      <c r="I4" s="1484"/>
      <c r="J4" s="1484"/>
      <c r="K4" s="1484"/>
      <c r="L4" s="1484"/>
      <c r="M4" s="1484"/>
      <c r="N4" s="1484"/>
      <c r="O4" s="1484"/>
    </row>
    <row r="5" spans="1:26" ht="15.75">
      <c r="A5" s="119"/>
      <c r="B5" s="120"/>
      <c r="C5" s="120"/>
      <c r="D5" s="121"/>
      <c r="E5" s="121"/>
      <c r="F5" s="121"/>
      <c r="G5" s="121"/>
      <c r="H5" s="121"/>
      <c r="I5" s="121"/>
      <c r="J5" s="121"/>
      <c r="K5" s="122"/>
      <c r="L5" s="122"/>
      <c r="M5" s="122"/>
      <c r="N5" s="122"/>
      <c r="O5" s="123" t="s">
        <v>229</v>
      </c>
    </row>
    <row r="6" spans="1:26" ht="28.5">
      <c r="A6" s="1485" t="s">
        <v>26</v>
      </c>
      <c r="B6" s="1488" t="s">
        <v>230</v>
      </c>
      <c r="C6" s="124" t="s">
        <v>231</v>
      </c>
      <c r="D6" s="1482" t="s">
        <v>232</v>
      </c>
      <c r="E6" s="1482"/>
      <c r="F6" s="1482"/>
      <c r="G6" s="1482" t="s">
        <v>233</v>
      </c>
      <c r="H6" s="1482"/>
      <c r="I6" s="1482"/>
      <c r="J6" s="1482" t="s">
        <v>234</v>
      </c>
      <c r="K6" s="1481" t="s">
        <v>235</v>
      </c>
      <c r="L6" s="1481"/>
      <c r="M6" s="1481"/>
      <c r="N6" s="1481" t="s">
        <v>236</v>
      </c>
      <c r="O6" s="1481" t="s">
        <v>131</v>
      </c>
    </row>
    <row r="7" spans="1:26">
      <c r="A7" s="1486"/>
      <c r="B7" s="1489"/>
      <c r="C7" s="124"/>
      <c r="D7" s="1482"/>
      <c r="E7" s="1482"/>
      <c r="F7" s="1482"/>
      <c r="G7" s="1482"/>
      <c r="H7" s="1482"/>
      <c r="I7" s="1482"/>
      <c r="J7" s="1482"/>
      <c r="K7" s="1482" t="s">
        <v>157</v>
      </c>
      <c r="L7" s="1482" t="s">
        <v>186</v>
      </c>
      <c r="M7" s="1482"/>
      <c r="N7" s="1481"/>
      <c r="O7" s="1481"/>
    </row>
    <row r="8" spans="1:26">
      <c r="A8" s="1486"/>
      <c r="B8" s="1489"/>
      <c r="C8" s="124"/>
      <c r="D8" s="1482" t="s">
        <v>5</v>
      </c>
      <c r="E8" s="1482" t="s">
        <v>186</v>
      </c>
      <c r="F8" s="1482"/>
      <c r="G8" s="1482" t="s">
        <v>5</v>
      </c>
      <c r="H8" s="1482" t="s">
        <v>186</v>
      </c>
      <c r="I8" s="1482"/>
      <c r="J8" s="1482"/>
      <c r="K8" s="1482"/>
      <c r="L8" s="1482" t="s">
        <v>237</v>
      </c>
      <c r="M8" s="1482" t="s">
        <v>238</v>
      </c>
      <c r="N8" s="1481"/>
      <c r="O8" s="1481"/>
    </row>
    <row r="9" spans="1:26" ht="42.75">
      <c r="A9" s="1487"/>
      <c r="B9" s="1490"/>
      <c r="C9" s="125"/>
      <c r="D9" s="1482"/>
      <c r="E9" s="124" t="s">
        <v>239</v>
      </c>
      <c r="F9" s="124" t="s">
        <v>240</v>
      </c>
      <c r="G9" s="1482"/>
      <c r="H9" s="124" t="s">
        <v>239</v>
      </c>
      <c r="I9" s="124" t="s">
        <v>240</v>
      </c>
      <c r="J9" s="1482"/>
      <c r="K9" s="1482"/>
      <c r="L9" s="1482"/>
      <c r="M9" s="1482"/>
      <c r="N9" s="1481"/>
      <c r="O9" s="1481"/>
      <c r="P9" s="1478" t="s">
        <v>161</v>
      </c>
      <c r="Q9" s="1479"/>
      <c r="R9" s="1479"/>
      <c r="S9" s="1479"/>
      <c r="T9" s="1480"/>
      <c r="U9" s="1478" t="s">
        <v>160</v>
      </c>
      <c r="V9" s="1479"/>
      <c r="W9" s="1479"/>
      <c r="X9" s="236"/>
      <c r="Y9" s="236"/>
    </row>
    <row r="10" spans="1:26">
      <c r="A10" s="126" t="s">
        <v>167</v>
      </c>
      <c r="B10" s="127" t="s">
        <v>168</v>
      </c>
      <c r="C10" s="127">
        <v>3</v>
      </c>
      <c r="D10" s="128" t="s">
        <v>241</v>
      </c>
      <c r="E10" s="127" t="s">
        <v>170</v>
      </c>
      <c r="F10" s="127" t="s">
        <v>171</v>
      </c>
      <c r="G10" s="128" t="s">
        <v>242</v>
      </c>
      <c r="H10" s="127">
        <v>7</v>
      </c>
      <c r="I10" s="127">
        <v>8</v>
      </c>
      <c r="J10" s="127">
        <v>9</v>
      </c>
      <c r="K10" s="129" t="s">
        <v>243</v>
      </c>
      <c r="L10" s="127" t="s">
        <v>177</v>
      </c>
      <c r="M10" s="127" t="s">
        <v>178</v>
      </c>
      <c r="N10" s="127" t="s">
        <v>179</v>
      </c>
      <c r="O10" s="127" t="s">
        <v>180</v>
      </c>
      <c r="P10" s="124" t="s">
        <v>132</v>
      </c>
      <c r="Q10" s="124" t="s">
        <v>223</v>
      </c>
      <c r="R10" s="124" t="s">
        <v>91</v>
      </c>
      <c r="S10" s="124"/>
      <c r="T10" s="124" t="s">
        <v>352</v>
      </c>
      <c r="U10" s="124" t="s">
        <v>132</v>
      </c>
      <c r="V10" s="124" t="s">
        <v>223</v>
      </c>
      <c r="W10" s="124" t="s">
        <v>91</v>
      </c>
      <c r="X10" s="124"/>
      <c r="Y10" s="124" t="s">
        <v>352</v>
      </c>
    </row>
    <row r="11" spans="1:26" ht="15.75">
      <c r="A11" s="130"/>
      <c r="B11" s="131" t="s">
        <v>159</v>
      </c>
      <c r="C11" s="132">
        <v>3266760</v>
      </c>
      <c r="D11" s="133">
        <f t="shared" ref="D11:D17" si="0">SUM(E11:F11)</f>
        <v>228.78</v>
      </c>
      <c r="E11" s="133">
        <f>SUM(E12:E17)</f>
        <v>126</v>
      </c>
      <c r="F11" s="133">
        <f>SUM(F12:F17)</f>
        <v>102.78</v>
      </c>
      <c r="G11" s="133">
        <f t="shared" ref="G11:G17" si="1">SUM(H11:I11)</f>
        <v>228.78</v>
      </c>
      <c r="H11" s="133">
        <f>SUM(H12:H17)</f>
        <v>126</v>
      </c>
      <c r="I11" s="133">
        <f>SUM(I12:I17)</f>
        <v>102.78</v>
      </c>
      <c r="J11" s="134">
        <v>57481</v>
      </c>
      <c r="K11" s="134">
        <f>SUM(K12:K17)</f>
        <v>33700</v>
      </c>
      <c r="L11" s="134">
        <f>SUM(L12:L17)</f>
        <v>10000</v>
      </c>
      <c r="M11" s="134">
        <f>SUM(M12:M17)</f>
        <v>23700</v>
      </c>
      <c r="N11" s="135"/>
      <c r="O11" s="136"/>
      <c r="P11" s="237">
        <f t="shared" ref="P11:Y11" si="2">+SUM(P12:P17)</f>
        <v>1347.5986314067379</v>
      </c>
      <c r="Q11" s="237">
        <f t="shared" si="2"/>
        <v>2021.3979471101068</v>
      </c>
      <c r="R11" s="237">
        <f t="shared" si="2"/>
        <v>3368.9965785168447</v>
      </c>
      <c r="S11" s="237"/>
      <c r="T11" s="237">
        <f t="shared" si="2"/>
        <v>23014</v>
      </c>
      <c r="U11" s="237">
        <f t="shared" si="2"/>
        <v>1109.4640151515152</v>
      </c>
      <c r="V11" s="237">
        <f t="shared" si="2"/>
        <v>1664.1960227272727</v>
      </c>
      <c r="W11" s="237">
        <f t="shared" si="2"/>
        <v>2773.660037878788</v>
      </c>
      <c r="X11" s="237"/>
      <c r="Y11" s="237">
        <f t="shared" si="2"/>
        <v>34467</v>
      </c>
    </row>
    <row r="12" spans="1:26" ht="49.5">
      <c r="A12" s="137">
        <v>1</v>
      </c>
      <c r="B12" s="138" t="s">
        <v>135</v>
      </c>
      <c r="C12" s="139">
        <v>810520</v>
      </c>
      <c r="D12" s="140">
        <f t="shared" si="0"/>
        <v>9.65</v>
      </c>
      <c r="E12" s="140">
        <v>0</v>
      </c>
      <c r="F12" s="140">
        <v>9.65</v>
      </c>
      <c r="G12" s="140">
        <f t="shared" si="1"/>
        <v>9.65</v>
      </c>
      <c r="H12" s="141">
        <v>0</v>
      </c>
      <c r="I12" s="140">
        <v>9.65</v>
      </c>
      <c r="J12" s="140">
        <v>2239</v>
      </c>
      <c r="K12" s="140">
        <f t="shared" ref="K12:K17" si="3">L12+M12</f>
        <v>2239</v>
      </c>
      <c r="L12" s="140">
        <v>2239</v>
      </c>
      <c r="M12" s="142"/>
      <c r="N12" s="143" t="s">
        <v>244</v>
      </c>
      <c r="O12" s="144"/>
      <c r="P12" s="234">
        <f>+J12/F12</f>
        <v>232.02072538860102</v>
      </c>
      <c r="Q12" s="234">
        <f t="shared" ref="Q12:Q17" si="4">+P12*0.6/0.4</f>
        <v>348.03108808290153</v>
      </c>
      <c r="R12" s="234">
        <f t="shared" ref="R12:R17" si="5">+P12+Q12</f>
        <v>580.05181347150256</v>
      </c>
      <c r="S12" s="234">
        <f t="shared" ref="S12:S17" si="6">F12*R12</f>
        <v>5597.5</v>
      </c>
      <c r="T12" s="234">
        <f t="shared" ref="T12:T17" si="7">+P12*F12</f>
        <v>2239</v>
      </c>
      <c r="U12" s="235"/>
      <c r="V12" s="235"/>
      <c r="W12" s="235"/>
      <c r="X12" s="235"/>
      <c r="Y12" s="234"/>
    </row>
    <row r="13" spans="1:26" ht="47.25">
      <c r="A13" s="137">
        <v>2</v>
      </c>
      <c r="B13" s="145" t="s">
        <v>134</v>
      </c>
      <c r="C13" s="139">
        <v>556520</v>
      </c>
      <c r="D13" s="140">
        <f t="shared" si="0"/>
        <v>12.13</v>
      </c>
      <c r="E13" s="140">
        <v>0</v>
      </c>
      <c r="F13" s="140">
        <v>12.13</v>
      </c>
      <c r="G13" s="140">
        <f t="shared" si="1"/>
        <v>12.13</v>
      </c>
      <c r="H13" s="140">
        <v>0</v>
      </c>
      <c r="I13" s="140">
        <v>12.13</v>
      </c>
      <c r="J13" s="140">
        <v>2712</v>
      </c>
      <c r="K13" s="140">
        <f t="shared" si="3"/>
        <v>2712</v>
      </c>
      <c r="L13" s="140">
        <v>2712</v>
      </c>
      <c r="M13" s="142">
        <v>0</v>
      </c>
      <c r="N13" s="146" t="s">
        <v>245</v>
      </c>
      <c r="O13" s="144"/>
      <c r="P13" s="234">
        <f>+J13/F13</f>
        <v>223.57790601813684</v>
      </c>
      <c r="Q13" s="234">
        <f t="shared" si="4"/>
        <v>335.36685902720524</v>
      </c>
      <c r="R13" s="234">
        <f t="shared" si="5"/>
        <v>558.94476504534214</v>
      </c>
      <c r="S13" s="234">
        <f t="shared" si="6"/>
        <v>6780.0000000000009</v>
      </c>
      <c r="T13" s="234">
        <f>+P13*F13</f>
        <v>2712</v>
      </c>
      <c r="U13" s="235"/>
      <c r="V13" s="235"/>
      <c r="W13" s="235"/>
      <c r="X13" s="235"/>
      <c r="Y13" s="234"/>
    </row>
    <row r="14" spans="1:26" ht="63">
      <c r="A14" s="137">
        <v>3</v>
      </c>
      <c r="B14" s="145" t="s">
        <v>136</v>
      </c>
      <c r="C14" s="139">
        <v>220000</v>
      </c>
      <c r="D14" s="140">
        <f t="shared" si="0"/>
        <v>33</v>
      </c>
      <c r="E14" s="140">
        <v>12</v>
      </c>
      <c r="F14" s="140">
        <v>21</v>
      </c>
      <c r="G14" s="140">
        <f t="shared" si="1"/>
        <v>33</v>
      </c>
      <c r="H14" s="140">
        <v>12</v>
      </c>
      <c r="I14" s="140">
        <v>21</v>
      </c>
      <c r="J14" s="140">
        <v>8198</v>
      </c>
      <c r="K14" s="140">
        <f t="shared" si="3"/>
        <v>7562</v>
      </c>
      <c r="L14" s="140">
        <v>1262</v>
      </c>
      <c r="M14" s="142">
        <v>6300</v>
      </c>
      <c r="N14" s="146" t="s">
        <v>246</v>
      </c>
      <c r="O14" s="147"/>
      <c r="P14" s="234">
        <v>223</v>
      </c>
      <c r="Q14" s="234">
        <f t="shared" si="4"/>
        <v>334.49999999999994</v>
      </c>
      <c r="R14" s="234">
        <f t="shared" si="5"/>
        <v>557.5</v>
      </c>
      <c r="S14" s="234">
        <f t="shared" si="6"/>
        <v>11707.5</v>
      </c>
      <c r="T14" s="234">
        <f t="shared" si="7"/>
        <v>4683</v>
      </c>
      <c r="U14" s="234">
        <f>+(J14-P14*F14)/E14</f>
        <v>292.91666666666669</v>
      </c>
      <c r="V14" s="234">
        <f>+U14*0.6/0.4</f>
        <v>439.375</v>
      </c>
      <c r="W14" s="234">
        <f>+U14+V14</f>
        <v>732.29166666666674</v>
      </c>
      <c r="X14" s="234">
        <f>E14*W14</f>
        <v>8787.5</v>
      </c>
      <c r="Y14" s="234">
        <f>+E14*U14</f>
        <v>3515</v>
      </c>
      <c r="Z14">
        <f>+H14*W14</f>
        <v>8787.5</v>
      </c>
    </row>
    <row r="15" spans="1:26" ht="15.75">
      <c r="A15" s="137">
        <v>4</v>
      </c>
      <c r="B15" s="148" t="s">
        <v>137</v>
      </c>
      <c r="C15" s="139">
        <v>22000</v>
      </c>
      <c r="D15" s="140">
        <f t="shared" si="0"/>
        <v>44</v>
      </c>
      <c r="E15" s="140">
        <v>33</v>
      </c>
      <c r="F15" s="140">
        <v>11</v>
      </c>
      <c r="G15" s="140">
        <f t="shared" si="1"/>
        <v>44</v>
      </c>
      <c r="H15" s="140">
        <v>33</v>
      </c>
      <c r="I15" s="140">
        <v>11</v>
      </c>
      <c r="J15" s="140">
        <v>11874</v>
      </c>
      <c r="K15" s="140">
        <f t="shared" si="3"/>
        <v>6062</v>
      </c>
      <c r="L15" s="140">
        <v>1262</v>
      </c>
      <c r="M15" s="142">
        <v>4800</v>
      </c>
      <c r="N15" s="149" t="s">
        <v>247</v>
      </c>
      <c r="O15" s="150"/>
      <c r="P15" s="234">
        <v>223</v>
      </c>
      <c r="Q15" s="234">
        <f t="shared" si="4"/>
        <v>334.49999999999994</v>
      </c>
      <c r="R15" s="234">
        <f t="shared" si="5"/>
        <v>557.5</v>
      </c>
      <c r="S15" s="234">
        <f t="shared" si="6"/>
        <v>6132.5</v>
      </c>
      <c r="T15" s="234">
        <f t="shared" si="7"/>
        <v>2453</v>
      </c>
      <c r="U15" s="234">
        <f>+(J15-P15*F15)/E15</f>
        <v>285.4848484848485</v>
      </c>
      <c r="V15" s="234">
        <f>+U15*0.6/0.4</f>
        <v>428.22727272727269</v>
      </c>
      <c r="W15" s="234">
        <f>+U15+V15</f>
        <v>713.71212121212125</v>
      </c>
      <c r="X15" s="234">
        <f>E15*W15</f>
        <v>23552.5</v>
      </c>
      <c r="Y15" s="234">
        <f>+E15*U15</f>
        <v>9421</v>
      </c>
      <c r="Z15">
        <f>+H15*W15</f>
        <v>23552.5</v>
      </c>
    </row>
    <row r="16" spans="1:26" ht="15.75">
      <c r="A16" s="137">
        <v>5</v>
      </c>
      <c r="B16" s="148" t="s">
        <v>138</v>
      </c>
      <c r="C16" s="139">
        <v>12000</v>
      </c>
      <c r="D16" s="140">
        <f t="shared" si="0"/>
        <v>79</v>
      </c>
      <c r="E16" s="140">
        <v>48</v>
      </c>
      <c r="F16" s="140">
        <v>31</v>
      </c>
      <c r="G16" s="140">
        <f t="shared" si="1"/>
        <v>79</v>
      </c>
      <c r="H16" s="140">
        <v>48</v>
      </c>
      <c r="I16" s="140">
        <v>31</v>
      </c>
      <c r="J16" s="140">
        <v>19732</v>
      </c>
      <c r="K16" s="140">
        <f t="shared" si="3"/>
        <v>7663</v>
      </c>
      <c r="L16" s="140">
        <v>1263</v>
      </c>
      <c r="M16" s="142">
        <v>6400</v>
      </c>
      <c r="N16" s="149" t="s">
        <v>248</v>
      </c>
      <c r="O16" s="150"/>
      <c r="P16" s="234">
        <v>223</v>
      </c>
      <c r="Q16" s="234">
        <f t="shared" si="4"/>
        <v>334.49999999999994</v>
      </c>
      <c r="R16" s="234">
        <f t="shared" si="5"/>
        <v>557.5</v>
      </c>
      <c r="S16" s="234">
        <f t="shared" si="6"/>
        <v>17282.5</v>
      </c>
      <c r="T16" s="234">
        <f t="shared" si="7"/>
        <v>6913</v>
      </c>
      <c r="U16" s="234">
        <f>+(J16-P16*F16)/E16</f>
        <v>267.0625</v>
      </c>
      <c r="V16" s="234">
        <f>+U16*0.6/0.4</f>
        <v>400.59374999999994</v>
      </c>
      <c r="W16" s="234">
        <f>+U16+V16</f>
        <v>667.65625</v>
      </c>
      <c r="X16" s="234">
        <f>E16*W16</f>
        <v>32047.5</v>
      </c>
      <c r="Y16" s="234">
        <f>+E16*U16</f>
        <v>12819</v>
      </c>
      <c r="Z16">
        <f>+H16*W16</f>
        <v>32047.5</v>
      </c>
    </row>
    <row r="17" spans="1:26" ht="49.5">
      <c r="A17" s="151">
        <v>6</v>
      </c>
      <c r="B17" s="152" t="s">
        <v>139</v>
      </c>
      <c r="C17" s="153">
        <v>2456240</v>
      </c>
      <c r="D17" s="154">
        <f t="shared" si="0"/>
        <v>51</v>
      </c>
      <c r="E17" s="154">
        <v>33</v>
      </c>
      <c r="F17" s="154">
        <v>18</v>
      </c>
      <c r="G17" s="154">
        <f t="shared" si="1"/>
        <v>51</v>
      </c>
      <c r="H17" s="154">
        <v>33</v>
      </c>
      <c r="I17" s="154">
        <v>18</v>
      </c>
      <c r="J17" s="154">
        <v>12726</v>
      </c>
      <c r="K17" s="154">
        <f t="shared" si="3"/>
        <v>7462</v>
      </c>
      <c r="L17" s="154">
        <v>1262</v>
      </c>
      <c r="M17" s="155">
        <v>6200</v>
      </c>
      <c r="N17" s="156" t="s">
        <v>249</v>
      </c>
      <c r="O17" s="157"/>
      <c r="P17" s="234">
        <v>223</v>
      </c>
      <c r="Q17" s="234">
        <f t="shared" si="4"/>
        <v>334.49999999999994</v>
      </c>
      <c r="R17" s="234">
        <f t="shared" si="5"/>
        <v>557.5</v>
      </c>
      <c r="S17" s="234">
        <f t="shared" si="6"/>
        <v>10035</v>
      </c>
      <c r="T17" s="234">
        <f t="shared" si="7"/>
        <v>4014</v>
      </c>
      <c r="U17" s="234">
        <f>+(J17-P17*F17)/E17</f>
        <v>264</v>
      </c>
      <c r="V17" s="234">
        <f>+U17*0.6/0.4</f>
        <v>396</v>
      </c>
      <c r="W17" s="234">
        <f>+U17+V17</f>
        <v>660</v>
      </c>
      <c r="X17" s="234">
        <f>E17*W17</f>
        <v>21780</v>
      </c>
      <c r="Y17" s="234">
        <f>+E17*U17</f>
        <v>8712</v>
      </c>
      <c r="Z17">
        <f>+H17*W17</f>
        <v>21780</v>
      </c>
    </row>
  </sheetData>
  <mergeCells count="21">
    <mergeCell ref="A2:O2"/>
    <mergeCell ref="A3:O3"/>
    <mergeCell ref="A4:O4"/>
    <mergeCell ref="A6:A9"/>
    <mergeCell ref="B6:B9"/>
    <mergeCell ref="D8:D9"/>
    <mergeCell ref="D6:F7"/>
    <mergeCell ref="E8:F8"/>
    <mergeCell ref="G8:G9"/>
    <mergeCell ref="H8:I8"/>
    <mergeCell ref="G6:I7"/>
    <mergeCell ref="J6:J9"/>
    <mergeCell ref="U9:W9"/>
    <mergeCell ref="P9:T9"/>
    <mergeCell ref="O6:O9"/>
    <mergeCell ref="K7:K9"/>
    <mergeCell ref="L7:M7"/>
    <mergeCell ref="N6:N9"/>
    <mergeCell ref="M8:M9"/>
    <mergeCell ref="K6:M6"/>
    <mergeCell ref="L8:L9"/>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FF00"/>
  </sheetPr>
  <dimension ref="A1:L116"/>
  <sheetViews>
    <sheetView workbookViewId="0">
      <selection activeCell="E25" sqref="E25"/>
    </sheetView>
  </sheetViews>
  <sheetFormatPr defaultRowHeight="15"/>
  <cols>
    <col min="2" max="2" width="20.875" customWidth="1"/>
    <col min="3" max="3" width="10" customWidth="1"/>
    <col min="4" max="8" width="10" hidden="1" customWidth="1"/>
    <col min="9" max="11" width="10" customWidth="1"/>
  </cols>
  <sheetData>
    <row r="1" spans="1:12" ht="15.75">
      <c r="A1" s="158" t="s">
        <v>162</v>
      </c>
      <c r="B1" s="158"/>
      <c r="C1" s="159"/>
      <c r="D1" s="158"/>
      <c r="E1" s="159"/>
      <c r="F1" s="159"/>
      <c r="G1" s="159"/>
      <c r="H1" s="160"/>
      <c r="I1" s="161"/>
      <c r="J1" s="161"/>
      <c r="K1" s="1500" t="s">
        <v>250</v>
      </c>
      <c r="L1" s="1500"/>
    </row>
    <row r="2" spans="1:12" ht="18.75">
      <c r="A2" s="1501" t="s">
        <v>251</v>
      </c>
      <c r="B2" s="1501"/>
      <c r="C2" s="1501"/>
      <c r="D2" s="1501"/>
      <c r="E2" s="1501"/>
      <c r="F2" s="1501"/>
      <c r="G2" s="1501"/>
      <c r="H2" s="1501"/>
      <c r="I2" s="1501"/>
      <c r="J2" s="1501"/>
      <c r="K2" s="1501"/>
      <c r="L2" s="1501"/>
    </row>
    <row r="3" spans="1:12" ht="18.75">
      <c r="A3" s="1501" t="s">
        <v>252</v>
      </c>
      <c r="B3" s="1501"/>
      <c r="C3" s="1501"/>
      <c r="D3" s="1501"/>
      <c r="E3" s="1501"/>
      <c r="F3" s="1501"/>
      <c r="G3" s="1501"/>
      <c r="H3" s="1501"/>
      <c r="I3" s="1501"/>
      <c r="J3" s="1501"/>
      <c r="K3" s="1501"/>
      <c r="L3" s="1501"/>
    </row>
    <row r="4" spans="1:12" ht="15.75">
      <c r="A4" s="1502" t="str">
        <f>'[73]TH.Đường GTNT 2023'!A4:O4</f>
        <v>(Kèm theo Quyết định số:  38/QĐ-UBND ngày 07/02/2023 của UBND tỉnh)</v>
      </c>
      <c r="B4" s="1502"/>
      <c r="C4" s="1502"/>
      <c r="D4" s="1502"/>
      <c r="E4" s="1502"/>
      <c r="F4" s="1502"/>
      <c r="G4" s="1502"/>
      <c r="H4" s="1502"/>
      <c r="I4" s="1502"/>
      <c r="J4" s="1502"/>
      <c r="K4" s="1502"/>
      <c r="L4" s="1502"/>
    </row>
    <row r="5" spans="1:12" ht="15.75">
      <c r="A5" s="119"/>
      <c r="B5" s="119"/>
      <c r="C5" s="162"/>
      <c r="D5" s="162"/>
      <c r="E5" s="163"/>
      <c r="F5" s="162"/>
      <c r="G5" s="162"/>
      <c r="H5" s="164"/>
      <c r="I5" s="165"/>
      <c r="J5" s="165"/>
      <c r="K5" s="1503" t="s">
        <v>229</v>
      </c>
      <c r="L5" s="1503"/>
    </row>
    <row r="6" spans="1:12" ht="25.5" customHeight="1">
      <c r="A6" s="1504" t="s">
        <v>26</v>
      </c>
      <c r="B6" s="1491" t="s">
        <v>253</v>
      </c>
      <c r="C6" s="1491" t="s">
        <v>232</v>
      </c>
      <c r="D6" s="1491" t="s">
        <v>254</v>
      </c>
      <c r="E6" s="1491" t="s">
        <v>233</v>
      </c>
      <c r="F6" s="1491"/>
      <c r="G6" s="1491"/>
      <c r="H6" s="1492" t="s">
        <v>255</v>
      </c>
      <c r="I6" s="1496" t="s">
        <v>256</v>
      </c>
      <c r="J6" s="1496"/>
      <c r="K6" s="1496"/>
      <c r="L6" s="1496" t="s">
        <v>131</v>
      </c>
    </row>
    <row r="7" spans="1:12" ht="25.5" customHeight="1">
      <c r="A7" s="1504"/>
      <c r="B7" s="1491"/>
      <c r="C7" s="1491"/>
      <c r="D7" s="1491"/>
      <c r="E7" s="1493" t="s">
        <v>91</v>
      </c>
      <c r="F7" s="1497" t="s">
        <v>186</v>
      </c>
      <c r="G7" s="1498"/>
      <c r="H7" s="1492"/>
      <c r="I7" s="1492" t="s">
        <v>157</v>
      </c>
      <c r="J7" s="1496" t="s">
        <v>2</v>
      </c>
      <c r="K7" s="1496"/>
      <c r="L7" s="1496"/>
    </row>
    <row r="8" spans="1:12" ht="25.5" customHeight="1">
      <c r="A8" s="1504"/>
      <c r="B8" s="1491"/>
      <c r="C8" s="1491"/>
      <c r="D8" s="1491"/>
      <c r="E8" s="1494"/>
      <c r="F8" s="1493" t="s">
        <v>257</v>
      </c>
      <c r="G8" s="1493" t="s">
        <v>258</v>
      </c>
      <c r="H8" s="1492"/>
      <c r="I8" s="1492"/>
      <c r="J8" s="1492" t="s">
        <v>237</v>
      </c>
      <c r="K8" s="1499" t="s">
        <v>259</v>
      </c>
      <c r="L8" s="1496"/>
    </row>
    <row r="9" spans="1:12" ht="54.75" customHeight="1">
      <c r="A9" s="1504"/>
      <c r="B9" s="1491"/>
      <c r="C9" s="1491"/>
      <c r="D9" s="1491"/>
      <c r="E9" s="1495"/>
      <c r="F9" s="1495"/>
      <c r="G9" s="1495"/>
      <c r="H9" s="1492"/>
      <c r="I9" s="1492"/>
      <c r="J9" s="1492"/>
      <c r="K9" s="1499"/>
      <c r="L9" s="1496"/>
    </row>
    <row r="10" spans="1:12">
      <c r="A10" s="166" t="s">
        <v>167</v>
      </c>
      <c r="B10" s="166" t="s">
        <v>168</v>
      </c>
      <c r="C10" s="166" t="s">
        <v>169</v>
      </c>
      <c r="D10" s="166" t="s">
        <v>170</v>
      </c>
      <c r="E10" s="166" t="s">
        <v>171</v>
      </c>
      <c r="F10" s="166" t="s">
        <v>172</v>
      </c>
      <c r="G10" s="166" t="s">
        <v>173</v>
      </c>
      <c r="H10" s="167">
        <v>8</v>
      </c>
      <c r="I10" s="167" t="s">
        <v>260</v>
      </c>
      <c r="J10" s="167" t="s">
        <v>175</v>
      </c>
      <c r="K10" s="168" t="s">
        <v>176</v>
      </c>
      <c r="L10" s="168" t="s">
        <v>177</v>
      </c>
    </row>
    <row r="11" spans="1:12" ht="15.75">
      <c r="A11" s="169"/>
      <c r="B11" s="169" t="s">
        <v>159</v>
      </c>
      <c r="C11" s="169">
        <f t="shared" ref="C11:K11" si="0">C12+C25+C40+C55+C70+C100</f>
        <v>39</v>
      </c>
      <c r="D11" s="169">
        <f t="shared" si="0"/>
        <v>39</v>
      </c>
      <c r="E11" s="169">
        <f t="shared" si="0"/>
        <v>39</v>
      </c>
      <c r="F11" s="169">
        <f t="shared" si="0"/>
        <v>21</v>
      </c>
      <c r="G11" s="169">
        <f t="shared" si="0"/>
        <v>18</v>
      </c>
      <c r="H11" s="169">
        <f t="shared" si="0"/>
        <v>56400</v>
      </c>
      <c r="I11" s="77">
        <f t="shared" si="0"/>
        <v>63000</v>
      </c>
      <c r="J11" s="77">
        <f t="shared" si="0"/>
        <v>20000</v>
      </c>
      <c r="K11" s="77">
        <f t="shared" si="0"/>
        <v>43000</v>
      </c>
      <c r="L11" s="170"/>
    </row>
    <row r="12" spans="1:12" ht="18" customHeight="1">
      <c r="A12" s="171" t="s">
        <v>66</v>
      </c>
      <c r="B12" s="172" t="s">
        <v>46</v>
      </c>
      <c r="C12" s="171">
        <v>5</v>
      </c>
      <c r="D12" s="171">
        <v>5</v>
      </c>
      <c r="E12" s="171">
        <f>E13+E22</f>
        <v>5</v>
      </c>
      <c r="F12" s="171">
        <f>F13+F22</f>
        <v>4</v>
      </c>
      <c r="G12" s="171">
        <f>G13+G22</f>
        <v>1</v>
      </c>
      <c r="H12" s="173">
        <v>14100</v>
      </c>
      <c r="I12" s="174">
        <f>J12+K12</f>
        <v>8077</v>
      </c>
      <c r="J12" s="175">
        <v>2564</v>
      </c>
      <c r="K12" s="175">
        <v>5513</v>
      </c>
      <c r="L12" s="175"/>
    </row>
    <row r="13" spans="1:12" ht="15.75" hidden="1">
      <c r="A13" s="176">
        <v>1</v>
      </c>
      <c r="B13" s="177" t="s">
        <v>261</v>
      </c>
      <c r="C13" s="176"/>
      <c r="D13" s="176"/>
      <c r="E13" s="176">
        <f t="shared" ref="E13:K13" si="1">E14+E16+E18+E20</f>
        <v>4</v>
      </c>
      <c r="F13" s="176">
        <f t="shared" si="1"/>
        <v>3</v>
      </c>
      <c r="G13" s="176">
        <f t="shared" si="1"/>
        <v>1</v>
      </c>
      <c r="H13" s="176">
        <f t="shared" si="1"/>
        <v>0</v>
      </c>
      <c r="I13" s="176">
        <f t="shared" si="1"/>
        <v>0</v>
      </c>
      <c r="J13" s="176">
        <f t="shared" si="1"/>
        <v>0</v>
      </c>
      <c r="K13" s="176">
        <f t="shared" si="1"/>
        <v>0</v>
      </c>
      <c r="L13" s="178"/>
    </row>
    <row r="14" spans="1:12" ht="15.75" hidden="1">
      <c r="A14" s="179" t="s">
        <v>122</v>
      </c>
      <c r="B14" s="180" t="s">
        <v>262</v>
      </c>
      <c r="C14" s="176"/>
      <c r="D14" s="176"/>
      <c r="E14" s="176">
        <f>E15</f>
        <v>1</v>
      </c>
      <c r="F14" s="176">
        <f t="shared" ref="F14:K14" si="2">F15</f>
        <v>1</v>
      </c>
      <c r="G14" s="176">
        <f t="shared" si="2"/>
        <v>0</v>
      </c>
      <c r="H14" s="176">
        <f t="shared" si="2"/>
        <v>0</v>
      </c>
      <c r="I14" s="176">
        <f t="shared" si="2"/>
        <v>0</v>
      </c>
      <c r="J14" s="176">
        <f t="shared" si="2"/>
        <v>0</v>
      </c>
      <c r="K14" s="176">
        <f t="shared" si="2"/>
        <v>0</v>
      </c>
      <c r="L14" s="181"/>
    </row>
    <row r="15" spans="1:12" ht="15.75" hidden="1">
      <c r="A15" s="137"/>
      <c r="B15" s="182" t="s">
        <v>263</v>
      </c>
      <c r="C15" s="137"/>
      <c r="D15" s="137"/>
      <c r="E15" s="137">
        <f>SUM(F15:G15)</f>
        <v>1</v>
      </c>
      <c r="F15" s="137">
        <v>1</v>
      </c>
      <c r="G15" s="137"/>
      <c r="H15" s="183"/>
      <c r="I15" s="184"/>
      <c r="J15" s="185"/>
      <c r="K15" s="184"/>
      <c r="L15" s="184"/>
    </row>
    <row r="16" spans="1:12" ht="15.75" hidden="1">
      <c r="A16" s="179" t="s">
        <v>124</v>
      </c>
      <c r="B16" s="186" t="s">
        <v>262</v>
      </c>
      <c r="C16" s="176"/>
      <c r="D16" s="176"/>
      <c r="E16" s="176">
        <f>E17</f>
        <v>1</v>
      </c>
      <c r="F16" s="176">
        <f t="shared" ref="F16:K16" si="3">F17</f>
        <v>0</v>
      </c>
      <c r="G16" s="176">
        <f t="shared" si="3"/>
        <v>1</v>
      </c>
      <c r="H16" s="176">
        <f t="shared" si="3"/>
        <v>0</v>
      </c>
      <c r="I16" s="176">
        <f t="shared" si="3"/>
        <v>0</v>
      </c>
      <c r="J16" s="176">
        <f t="shared" si="3"/>
        <v>0</v>
      </c>
      <c r="K16" s="176">
        <f t="shared" si="3"/>
        <v>0</v>
      </c>
      <c r="L16" s="181"/>
    </row>
    <row r="17" spans="1:12" ht="15.75" hidden="1">
      <c r="A17" s="137"/>
      <c r="B17" s="187" t="s">
        <v>264</v>
      </c>
      <c r="C17" s="137"/>
      <c r="D17" s="137"/>
      <c r="E17" s="137">
        <f>SUM(F17:G17)</f>
        <v>1</v>
      </c>
      <c r="F17" s="137">
        <v>0</v>
      </c>
      <c r="G17" s="137">
        <v>1</v>
      </c>
      <c r="H17" s="183"/>
      <c r="I17" s="184"/>
      <c r="J17" s="185"/>
      <c r="K17" s="184"/>
      <c r="L17" s="184"/>
    </row>
    <row r="18" spans="1:12" ht="15.75" hidden="1">
      <c r="A18" s="188" t="s">
        <v>8</v>
      </c>
      <c r="B18" s="180" t="s">
        <v>265</v>
      </c>
      <c r="C18" s="188"/>
      <c r="D18" s="188"/>
      <c r="E18" s="188">
        <f>E19</f>
        <v>1</v>
      </c>
      <c r="F18" s="188">
        <f t="shared" ref="F18:K18" si="4">F19</f>
        <v>1</v>
      </c>
      <c r="G18" s="188">
        <f t="shared" si="4"/>
        <v>0</v>
      </c>
      <c r="H18" s="188">
        <f t="shared" si="4"/>
        <v>0</v>
      </c>
      <c r="I18" s="188">
        <f t="shared" si="4"/>
        <v>0</v>
      </c>
      <c r="J18" s="188">
        <f t="shared" si="4"/>
        <v>0</v>
      </c>
      <c r="K18" s="188">
        <f t="shared" si="4"/>
        <v>0</v>
      </c>
      <c r="L18" s="181"/>
    </row>
    <row r="19" spans="1:12" ht="15.75" hidden="1">
      <c r="A19" s="137"/>
      <c r="B19" s="187" t="s">
        <v>266</v>
      </c>
      <c r="C19" s="137"/>
      <c r="D19" s="137"/>
      <c r="E19" s="137">
        <f>SUM(F19:G19)</f>
        <v>1</v>
      </c>
      <c r="F19" s="137">
        <v>1</v>
      </c>
      <c r="G19" s="137"/>
      <c r="H19" s="183"/>
      <c r="I19" s="184"/>
      <c r="J19" s="185"/>
      <c r="K19" s="184"/>
      <c r="L19" s="184"/>
    </row>
    <row r="20" spans="1:12" ht="15.75" hidden="1">
      <c r="A20" s="188" t="s">
        <v>10</v>
      </c>
      <c r="B20" s="180" t="s">
        <v>267</v>
      </c>
      <c r="C20" s="188"/>
      <c r="D20" s="188"/>
      <c r="E20" s="188">
        <f>E21</f>
        <v>1</v>
      </c>
      <c r="F20" s="188">
        <f t="shared" ref="F20:K20" si="5">F21</f>
        <v>1</v>
      </c>
      <c r="G20" s="188">
        <f t="shared" si="5"/>
        <v>0</v>
      </c>
      <c r="H20" s="188">
        <f t="shared" si="5"/>
        <v>0</v>
      </c>
      <c r="I20" s="188">
        <f t="shared" si="5"/>
        <v>0</v>
      </c>
      <c r="J20" s="188">
        <f t="shared" si="5"/>
        <v>0</v>
      </c>
      <c r="K20" s="188">
        <f t="shared" si="5"/>
        <v>0</v>
      </c>
      <c r="L20" s="181"/>
    </row>
    <row r="21" spans="1:12" ht="15.75" hidden="1">
      <c r="A21" s="151"/>
      <c r="B21" s="189" t="s">
        <v>268</v>
      </c>
      <c r="C21" s="151"/>
      <c r="D21" s="151"/>
      <c r="E21" s="151">
        <f>SUM(F21:G21)</f>
        <v>1</v>
      </c>
      <c r="F21" s="151">
        <v>1</v>
      </c>
      <c r="G21" s="151"/>
      <c r="H21" s="190"/>
      <c r="I21" s="191"/>
      <c r="J21" s="192"/>
      <c r="K21" s="191"/>
      <c r="L21" s="191"/>
    </row>
    <row r="22" spans="1:12" ht="15.75" hidden="1">
      <c r="A22" s="193">
        <v>2</v>
      </c>
      <c r="B22" s="194" t="s">
        <v>269</v>
      </c>
      <c r="C22" s="193"/>
      <c r="D22" s="193"/>
      <c r="E22" s="193">
        <f>E23</f>
        <v>1</v>
      </c>
      <c r="F22" s="193">
        <f t="shared" ref="F22:K23" si="6">F23</f>
        <v>1</v>
      </c>
      <c r="G22" s="193">
        <f t="shared" si="6"/>
        <v>0</v>
      </c>
      <c r="H22" s="193">
        <f t="shared" si="6"/>
        <v>0</v>
      </c>
      <c r="I22" s="193">
        <f t="shared" si="6"/>
        <v>0</v>
      </c>
      <c r="J22" s="193">
        <f t="shared" si="6"/>
        <v>0</v>
      </c>
      <c r="K22" s="193">
        <f t="shared" si="6"/>
        <v>0</v>
      </c>
      <c r="L22" s="195"/>
    </row>
    <row r="23" spans="1:12" ht="15.75" hidden="1">
      <c r="A23" s="179" t="s">
        <v>6</v>
      </c>
      <c r="B23" s="180" t="s">
        <v>270</v>
      </c>
      <c r="C23" s="188"/>
      <c r="D23" s="188"/>
      <c r="E23" s="188">
        <f>E24</f>
        <v>1</v>
      </c>
      <c r="F23" s="188">
        <f t="shared" si="6"/>
        <v>1</v>
      </c>
      <c r="G23" s="188">
        <f t="shared" si="6"/>
        <v>0</v>
      </c>
      <c r="H23" s="188">
        <f t="shared" si="6"/>
        <v>0</v>
      </c>
      <c r="I23" s="188">
        <f t="shared" si="6"/>
        <v>0</v>
      </c>
      <c r="J23" s="188">
        <f t="shared" si="6"/>
        <v>0</v>
      </c>
      <c r="K23" s="188">
        <f t="shared" si="6"/>
        <v>0</v>
      </c>
      <c r="L23" s="181"/>
    </row>
    <row r="24" spans="1:12" ht="15.75" hidden="1">
      <c r="A24" s="137"/>
      <c r="B24" s="187" t="s">
        <v>271</v>
      </c>
      <c r="C24" s="137"/>
      <c r="D24" s="137"/>
      <c r="E24" s="137">
        <f>SUM(F24:G24)</f>
        <v>1</v>
      </c>
      <c r="F24" s="137">
        <v>1</v>
      </c>
      <c r="G24" s="137"/>
      <c r="H24" s="196"/>
      <c r="I24" s="184"/>
      <c r="J24" s="197"/>
      <c r="K24" s="184"/>
      <c r="L24" s="184"/>
    </row>
    <row r="25" spans="1:12" ht="27.75" customHeight="1">
      <c r="A25" s="198" t="s">
        <v>67</v>
      </c>
      <c r="B25" s="177" t="s">
        <v>45</v>
      </c>
      <c r="C25" s="176">
        <v>5</v>
      </c>
      <c r="D25" s="176">
        <v>5</v>
      </c>
      <c r="E25" s="176">
        <f>E26+E29+E32+E37</f>
        <v>5</v>
      </c>
      <c r="F25" s="176">
        <f>F26+F29+F32+F37</f>
        <v>4</v>
      </c>
      <c r="G25" s="176">
        <f>G26+G29+G32+G37</f>
        <v>1</v>
      </c>
      <c r="H25" s="176">
        <f>H26+H29+H32+H37</f>
        <v>0</v>
      </c>
      <c r="I25" s="178">
        <f>J25+K25</f>
        <v>8077</v>
      </c>
      <c r="J25" s="199">
        <v>2564</v>
      </c>
      <c r="K25" s="178">
        <v>5513</v>
      </c>
      <c r="L25" s="178"/>
    </row>
    <row r="26" spans="1:12" ht="15.75" hidden="1">
      <c r="A26" s="200">
        <v>1</v>
      </c>
      <c r="B26" s="177" t="s">
        <v>272</v>
      </c>
      <c r="C26" s="176"/>
      <c r="D26" s="176"/>
      <c r="E26" s="176">
        <f>E27</f>
        <v>1</v>
      </c>
      <c r="F26" s="176">
        <f t="shared" ref="F26:K27" si="7">F27</f>
        <v>1</v>
      </c>
      <c r="G26" s="176">
        <f t="shared" si="7"/>
        <v>0</v>
      </c>
      <c r="H26" s="176">
        <f t="shared" si="7"/>
        <v>0</v>
      </c>
      <c r="I26" s="176">
        <f t="shared" si="7"/>
        <v>0</v>
      </c>
      <c r="J26" s="176">
        <f t="shared" si="7"/>
        <v>0</v>
      </c>
      <c r="K26" s="176">
        <f t="shared" si="7"/>
        <v>0</v>
      </c>
      <c r="L26" s="178"/>
    </row>
    <row r="27" spans="1:12" ht="15.75" hidden="1">
      <c r="A27" s="200"/>
      <c r="B27" s="180" t="s">
        <v>273</v>
      </c>
      <c r="C27" s="176"/>
      <c r="D27" s="176"/>
      <c r="E27" s="188">
        <f>E28</f>
        <v>1</v>
      </c>
      <c r="F27" s="188">
        <f t="shared" si="7"/>
        <v>1</v>
      </c>
      <c r="G27" s="188">
        <f t="shared" si="7"/>
        <v>0</v>
      </c>
      <c r="H27" s="188">
        <f t="shared" si="7"/>
        <v>0</v>
      </c>
      <c r="I27" s="188">
        <f t="shared" si="7"/>
        <v>0</v>
      </c>
      <c r="J27" s="188">
        <f t="shared" si="7"/>
        <v>0</v>
      </c>
      <c r="K27" s="188">
        <f t="shared" si="7"/>
        <v>0</v>
      </c>
      <c r="L27" s="178"/>
    </row>
    <row r="28" spans="1:12" ht="15.75" hidden="1">
      <c r="A28" s="201"/>
      <c r="B28" s="187" t="s">
        <v>274</v>
      </c>
      <c r="C28" s="137"/>
      <c r="D28" s="137"/>
      <c r="E28" s="137">
        <f>SUM(F28:G28)</f>
        <v>1</v>
      </c>
      <c r="F28" s="137">
        <v>1</v>
      </c>
      <c r="G28" s="137"/>
      <c r="H28" s="196"/>
      <c r="I28" s="184"/>
      <c r="J28" s="197"/>
      <c r="K28" s="184"/>
      <c r="L28" s="184"/>
    </row>
    <row r="29" spans="1:12" ht="15.75" hidden="1">
      <c r="A29" s="200" t="s">
        <v>168</v>
      </c>
      <c r="B29" s="177" t="s">
        <v>275</v>
      </c>
      <c r="C29" s="176"/>
      <c r="D29" s="176"/>
      <c r="E29" s="176">
        <f>E30</f>
        <v>1</v>
      </c>
      <c r="F29" s="176">
        <f t="shared" ref="F29:K30" si="8">F30</f>
        <v>0</v>
      </c>
      <c r="G29" s="176">
        <f t="shared" si="8"/>
        <v>1</v>
      </c>
      <c r="H29" s="176">
        <f t="shared" si="8"/>
        <v>0</v>
      </c>
      <c r="I29" s="176">
        <f t="shared" si="8"/>
        <v>0</v>
      </c>
      <c r="J29" s="176">
        <f t="shared" si="8"/>
        <v>0</v>
      </c>
      <c r="K29" s="176">
        <f t="shared" si="8"/>
        <v>0</v>
      </c>
      <c r="L29" s="178"/>
    </row>
    <row r="30" spans="1:12" ht="15.75" hidden="1">
      <c r="A30" s="202"/>
      <c r="B30" s="180" t="s">
        <v>276</v>
      </c>
      <c r="C30" s="176"/>
      <c r="D30" s="176"/>
      <c r="E30" s="188">
        <f>E31</f>
        <v>1</v>
      </c>
      <c r="F30" s="188">
        <f t="shared" si="8"/>
        <v>0</v>
      </c>
      <c r="G30" s="188">
        <f t="shared" si="8"/>
        <v>1</v>
      </c>
      <c r="H30" s="188">
        <f t="shared" si="8"/>
        <v>0</v>
      </c>
      <c r="I30" s="188">
        <f t="shared" si="8"/>
        <v>0</v>
      </c>
      <c r="J30" s="188">
        <f t="shared" si="8"/>
        <v>0</v>
      </c>
      <c r="K30" s="188">
        <f t="shared" si="8"/>
        <v>0</v>
      </c>
      <c r="L30" s="181"/>
    </row>
    <row r="31" spans="1:12" ht="15.75" hidden="1">
      <c r="A31" s="201"/>
      <c r="B31" s="187" t="s">
        <v>277</v>
      </c>
      <c r="C31" s="137"/>
      <c r="D31" s="137"/>
      <c r="E31" s="137">
        <f>SUM(F31:G31)</f>
        <v>1</v>
      </c>
      <c r="F31" s="137"/>
      <c r="G31" s="137">
        <v>1</v>
      </c>
      <c r="H31" s="196"/>
      <c r="I31" s="184"/>
      <c r="J31" s="197"/>
      <c r="K31" s="184"/>
      <c r="L31" s="184"/>
    </row>
    <row r="32" spans="1:12" ht="15.75" hidden="1">
      <c r="A32" s="200">
        <v>3</v>
      </c>
      <c r="B32" s="177" t="s">
        <v>278</v>
      </c>
      <c r="C32" s="176"/>
      <c r="D32" s="176"/>
      <c r="E32" s="176">
        <f>E33+E35</f>
        <v>2</v>
      </c>
      <c r="F32" s="176">
        <f t="shared" ref="F32:K32" si="9">F33+F35</f>
        <v>2</v>
      </c>
      <c r="G32" s="176">
        <f t="shared" si="9"/>
        <v>0</v>
      </c>
      <c r="H32" s="176">
        <f t="shared" si="9"/>
        <v>0</v>
      </c>
      <c r="I32" s="176">
        <f t="shared" si="9"/>
        <v>0</v>
      </c>
      <c r="J32" s="176">
        <f t="shared" si="9"/>
        <v>0</v>
      </c>
      <c r="K32" s="176">
        <f t="shared" si="9"/>
        <v>0</v>
      </c>
      <c r="L32" s="178"/>
    </row>
    <row r="33" spans="1:12" ht="15.75" hidden="1">
      <c r="A33" s="203" t="s">
        <v>189</v>
      </c>
      <c r="B33" s="180" t="s">
        <v>279</v>
      </c>
      <c r="C33" s="176"/>
      <c r="D33" s="176"/>
      <c r="E33" s="188">
        <f>E34</f>
        <v>1</v>
      </c>
      <c r="F33" s="188">
        <f t="shared" ref="F33:K33" si="10">F34</f>
        <v>1</v>
      </c>
      <c r="G33" s="188">
        <f t="shared" si="10"/>
        <v>0</v>
      </c>
      <c r="H33" s="188">
        <f t="shared" si="10"/>
        <v>0</v>
      </c>
      <c r="I33" s="188">
        <f t="shared" si="10"/>
        <v>0</v>
      </c>
      <c r="J33" s="188">
        <f t="shared" si="10"/>
        <v>0</v>
      </c>
      <c r="K33" s="188">
        <f t="shared" si="10"/>
        <v>0</v>
      </c>
      <c r="L33" s="181"/>
    </row>
    <row r="34" spans="1:12" ht="15.75" hidden="1">
      <c r="A34" s="204"/>
      <c r="B34" s="189" t="s">
        <v>280</v>
      </c>
      <c r="C34" s="151"/>
      <c r="D34" s="151"/>
      <c r="E34" s="151">
        <f>SUM(F34:G34)</f>
        <v>1</v>
      </c>
      <c r="F34" s="151">
        <v>1</v>
      </c>
      <c r="G34" s="151"/>
      <c r="H34" s="205"/>
      <c r="I34" s="191"/>
      <c r="J34" s="206"/>
      <c r="K34" s="191"/>
      <c r="L34" s="191"/>
    </row>
    <row r="35" spans="1:12" ht="15.75" hidden="1">
      <c r="A35" s="207" t="s">
        <v>190</v>
      </c>
      <c r="B35" s="208" t="s">
        <v>281</v>
      </c>
      <c r="C35" s="209"/>
      <c r="D35" s="209"/>
      <c r="E35" s="209">
        <f>E36</f>
        <v>1</v>
      </c>
      <c r="F35" s="209">
        <f t="shared" ref="F35:K35" si="11">F36</f>
        <v>1</v>
      </c>
      <c r="G35" s="209">
        <f t="shared" si="11"/>
        <v>0</v>
      </c>
      <c r="H35" s="209">
        <f t="shared" si="11"/>
        <v>0</v>
      </c>
      <c r="I35" s="209">
        <f t="shared" si="11"/>
        <v>0</v>
      </c>
      <c r="J35" s="209">
        <f t="shared" si="11"/>
        <v>0</v>
      </c>
      <c r="K35" s="209">
        <f t="shared" si="11"/>
        <v>0</v>
      </c>
      <c r="L35" s="210"/>
    </row>
    <row r="36" spans="1:12" ht="15.75" hidden="1">
      <c r="A36" s="201"/>
      <c r="B36" s="187" t="s">
        <v>282</v>
      </c>
      <c r="C36" s="137"/>
      <c r="D36" s="137"/>
      <c r="E36" s="137">
        <f>SUM(F36:G36)</f>
        <v>1</v>
      </c>
      <c r="F36" s="137">
        <v>1</v>
      </c>
      <c r="G36" s="137"/>
      <c r="H36" s="196"/>
      <c r="I36" s="184"/>
      <c r="J36" s="197"/>
      <c r="K36" s="184"/>
      <c r="L36" s="184"/>
    </row>
    <row r="37" spans="1:12" ht="15.75" hidden="1">
      <c r="A37" s="200" t="s">
        <v>170</v>
      </c>
      <c r="B37" s="177" t="s">
        <v>283</v>
      </c>
      <c r="C37" s="176"/>
      <c r="D37" s="176"/>
      <c r="E37" s="176">
        <f>E38</f>
        <v>1</v>
      </c>
      <c r="F37" s="176">
        <f t="shared" ref="F37:K38" si="12">F38</f>
        <v>1</v>
      </c>
      <c r="G37" s="176">
        <f t="shared" si="12"/>
        <v>0</v>
      </c>
      <c r="H37" s="176">
        <f t="shared" si="12"/>
        <v>0</v>
      </c>
      <c r="I37" s="176">
        <f t="shared" si="12"/>
        <v>0</v>
      </c>
      <c r="J37" s="176">
        <f t="shared" si="12"/>
        <v>0</v>
      </c>
      <c r="K37" s="176">
        <f t="shared" si="12"/>
        <v>0</v>
      </c>
      <c r="L37" s="178"/>
    </row>
    <row r="38" spans="1:12" ht="15.75" hidden="1">
      <c r="A38" s="202" t="s">
        <v>199</v>
      </c>
      <c r="B38" s="180" t="s">
        <v>284</v>
      </c>
      <c r="C38" s="176"/>
      <c r="D38" s="176"/>
      <c r="E38" s="188">
        <f>E39</f>
        <v>1</v>
      </c>
      <c r="F38" s="188">
        <f t="shared" si="12"/>
        <v>1</v>
      </c>
      <c r="G38" s="188">
        <f t="shared" si="12"/>
        <v>0</v>
      </c>
      <c r="H38" s="188">
        <f t="shared" si="12"/>
        <v>0</v>
      </c>
      <c r="I38" s="188">
        <f t="shared" si="12"/>
        <v>0</v>
      </c>
      <c r="J38" s="188">
        <f t="shared" si="12"/>
        <v>0</v>
      </c>
      <c r="K38" s="188">
        <f t="shared" si="12"/>
        <v>0</v>
      </c>
      <c r="L38" s="181"/>
    </row>
    <row r="39" spans="1:12" ht="15.75" hidden="1">
      <c r="A39" s="201"/>
      <c r="B39" s="187" t="s">
        <v>285</v>
      </c>
      <c r="C39" s="137"/>
      <c r="D39" s="137"/>
      <c r="E39" s="137">
        <f>SUM(F39:G39)</f>
        <v>1</v>
      </c>
      <c r="F39" s="137">
        <v>1</v>
      </c>
      <c r="G39" s="137"/>
      <c r="H39" s="196"/>
      <c r="I39" s="184"/>
      <c r="J39" s="197"/>
      <c r="K39" s="184"/>
      <c r="L39" s="184"/>
    </row>
    <row r="40" spans="1:12" ht="21" customHeight="1">
      <c r="A40" s="198" t="s">
        <v>80</v>
      </c>
      <c r="B40" s="177" t="s">
        <v>47</v>
      </c>
      <c r="C40" s="176">
        <v>6</v>
      </c>
      <c r="D40" s="176">
        <v>6</v>
      </c>
      <c r="E40" s="176">
        <f>E41+E46+E51</f>
        <v>6</v>
      </c>
      <c r="F40" s="176">
        <f>F41+F46+F51</f>
        <v>2</v>
      </c>
      <c r="G40" s="176">
        <f>G41+G46+G51</f>
        <v>4</v>
      </c>
      <c r="H40" s="211">
        <v>14100</v>
      </c>
      <c r="I40" s="178">
        <f>J40+K40</f>
        <v>9693</v>
      </c>
      <c r="J40" s="199">
        <v>3077</v>
      </c>
      <c r="K40" s="178">
        <v>6616</v>
      </c>
      <c r="L40" s="178"/>
    </row>
    <row r="41" spans="1:12" ht="15.75" hidden="1">
      <c r="A41" s="200">
        <v>1</v>
      </c>
      <c r="B41" s="177" t="s">
        <v>202</v>
      </c>
      <c r="C41" s="176"/>
      <c r="D41" s="176"/>
      <c r="E41" s="176">
        <f>E42+E44</f>
        <v>2</v>
      </c>
      <c r="F41" s="176">
        <f>F42+F44</f>
        <v>0</v>
      </c>
      <c r="G41" s="176">
        <f>G42+G44</f>
        <v>2</v>
      </c>
      <c r="H41" s="176">
        <f>H42+H44</f>
        <v>0</v>
      </c>
      <c r="I41" s="178"/>
      <c r="J41" s="212"/>
      <c r="K41" s="178"/>
      <c r="L41" s="178"/>
    </row>
    <row r="42" spans="1:12" ht="15.75" hidden="1">
      <c r="A42" s="202" t="s">
        <v>122</v>
      </c>
      <c r="B42" s="180" t="s">
        <v>286</v>
      </c>
      <c r="C42" s="176"/>
      <c r="D42" s="176"/>
      <c r="E42" s="188">
        <f t="shared" ref="E42:K42" si="13">E43</f>
        <v>1</v>
      </c>
      <c r="F42" s="188">
        <f t="shared" si="13"/>
        <v>0</v>
      </c>
      <c r="G42" s="188">
        <f t="shared" si="13"/>
        <v>1</v>
      </c>
      <c r="H42" s="188">
        <f t="shared" si="13"/>
        <v>0</v>
      </c>
      <c r="I42" s="188">
        <f t="shared" si="13"/>
        <v>0</v>
      </c>
      <c r="J42" s="188">
        <f t="shared" si="13"/>
        <v>0</v>
      </c>
      <c r="K42" s="188">
        <f t="shared" si="13"/>
        <v>0</v>
      </c>
      <c r="L42" s="181"/>
    </row>
    <row r="43" spans="1:12" ht="15.75" hidden="1">
      <c r="A43" s="201"/>
      <c r="B43" s="187" t="s">
        <v>287</v>
      </c>
      <c r="C43" s="137"/>
      <c r="D43" s="137"/>
      <c r="E43" s="137">
        <f>SUM(F43:G43)</f>
        <v>1</v>
      </c>
      <c r="F43" s="137"/>
      <c r="G43" s="137">
        <v>1</v>
      </c>
      <c r="H43" s="196"/>
      <c r="I43" s="184"/>
      <c r="J43" s="197"/>
      <c r="K43" s="184"/>
      <c r="L43" s="184"/>
    </row>
    <row r="44" spans="1:12" ht="15.75" hidden="1">
      <c r="A44" s="203" t="s">
        <v>124</v>
      </c>
      <c r="B44" s="180" t="s">
        <v>288</v>
      </c>
      <c r="C44" s="188"/>
      <c r="D44" s="188"/>
      <c r="E44" s="188">
        <f>E45</f>
        <v>1</v>
      </c>
      <c r="F44" s="188">
        <f t="shared" ref="F44:K44" si="14">F45</f>
        <v>0</v>
      </c>
      <c r="G44" s="188">
        <f t="shared" si="14"/>
        <v>1</v>
      </c>
      <c r="H44" s="188">
        <f t="shared" si="14"/>
        <v>0</v>
      </c>
      <c r="I44" s="188">
        <f t="shared" si="14"/>
        <v>0</v>
      </c>
      <c r="J44" s="188">
        <f t="shared" si="14"/>
        <v>0</v>
      </c>
      <c r="K44" s="188">
        <f t="shared" si="14"/>
        <v>0</v>
      </c>
      <c r="L44" s="181"/>
    </row>
    <row r="45" spans="1:12" ht="15.75" hidden="1">
      <c r="A45" s="201"/>
      <c r="B45" s="187" t="s">
        <v>289</v>
      </c>
      <c r="C45" s="137"/>
      <c r="D45" s="137"/>
      <c r="E45" s="137">
        <f>SUM(F45:G45)</f>
        <v>1</v>
      </c>
      <c r="F45" s="137"/>
      <c r="G45" s="137">
        <v>1</v>
      </c>
      <c r="H45" s="196"/>
      <c r="I45" s="184"/>
      <c r="J45" s="197"/>
      <c r="K45" s="184"/>
      <c r="L45" s="184"/>
    </row>
    <row r="46" spans="1:12" ht="15.75" hidden="1">
      <c r="A46" s="200">
        <v>2</v>
      </c>
      <c r="B46" s="177" t="s">
        <v>290</v>
      </c>
      <c r="C46" s="176"/>
      <c r="D46" s="176"/>
      <c r="E46" s="176">
        <f>E47+E49</f>
        <v>2</v>
      </c>
      <c r="F46" s="176">
        <f t="shared" ref="F46:K46" si="15">F47+F49</f>
        <v>1</v>
      </c>
      <c r="G46" s="176">
        <f t="shared" si="15"/>
        <v>1</v>
      </c>
      <c r="H46" s="176">
        <f t="shared" si="15"/>
        <v>0</v>
      </c>
      <c r="I46" s="176">
        <f t="shared" si="15"/>
        <v>0</v>
      </c>
      <c r="J46" s="176">
        <f t="shared" si="15"/>
        <v>0</v>
      </c>
      <c r="K46" s="176">
        <f t="shared" si="15"/>
        <v>0</v>
      </c>
      <c r="L46" s="178"/>
    </row>
    <row r="47" spans="1:12" ht="15.75" hidden="1">
      <c r="A47" s="202" t="s">
        <v>6</v>
      </c>
      <c r="B47" s="180" t="s">
        <v>291</v>
      </c>
      <c r="C47" s="176"/>
      <c r="D47" s="176"/>
      <c r="E47" s="188">
        <f>E48</f>
        <v>1</v>
      </c>
      <c r="F47" s="188">
        <f t="shared" ref="F47:K47" si="16">F48</f>
        <v>0</v>
      </c>
      <c r="G47" s="188">
        <f t="shared" si="16"/>
        <v>1</v>
      </c>
      <c r="H47" s="188">
        <f t="shared" si="16"/>
        <v>0</v>
      </c>
      <c r="I47" s="188">
        <f t="shared" si="16"/>
        <v>0</v>
      </c>
      <c r="J47" s="188">
        <f t="shared" si="16"/>
        <v>0</v>
      </c>
      <c r="K47" s="188">
        <f t="shared" si="16"/>
        <v>0</v>
      </c>
      <c r="L47" s="181"/>
    </row>
    <row r="48" spans="1:12" ht="15.75" hidden="1">
      <c r="A48" s="204"/>
      <c r="B48" s="189" t="s">
        <v>292</v>
      </c>
      <c r="C48" s="151"/>
      <c r="D48" s="151"/>
      <c r="E48" s="151">
        <f>SUM(F48:G48)</f>
        <v>1</v>
      </c>
      <c r="F48" s="151"/>
      <c r="G48" s="151">
        <v>1</v>
      </c>
      <c r="H48" s="205"/>
      <c r="I48" s="191"/>
      <c r="J48" s="206"/>
      <c r="K48" s="191"/>
      <c r="L48" s="191"/>
    </row>
    <row r="49" spans="1:12" ht="15.75" hidden="1">
      <c r="A49" s="207" t="s">
        <v>7</v>
      </c>
      <c r="B49" s="208" t="s">
        <v>293</v>
      </c>
      <c r="C49" s="209"/>
      <c r="D49" s="209"/>
      <c r="E49" s="209">
        <f>E50</f>
        <v>1</v>
      </c>
      <c r="F49" s="209">
        <f t="shared" ref="F49:K49" si="17">F50</f>
        <v>1</v>
      </c>
      <c r="G49" s="209">
        <f t="shared" si="17"/>
        <v>0</v>
      </c>
      <c r="H49" s="209">
        <f t="shared" si="17"/>
        <v>0</v>
      </c>
      <c r="I49" s="209">
        <f t="shared" si="17"/>
        <v>0</v>
      </c>
      <c r="J49" s="209">
        <f t="shared" si="17"/>
        <v>0</v>
      </c>
      <c r="K49" s="209">
        <f t="shared" si="17"/>
        <v>0</v>
      </c>
      <c r="L49" s="210"/>
    </row>
    <row r="50" spans="1:12" ht="15.75" hidden="1">
      <c r="A50" s="201"/>
      <c r="B50" s="187" t="s">
        <v>294</v>
      </c>
      <c r="C50" s="137"/>
      <c r="D50" s="137"/>
      <c r="E50" s="137">
        <f>SUM(F50:G50)</f>
        <v>1</v>
      </c>
      <c r="F50" s="137">
        <v>1</v>
      </c>
      <c r="G50" s="137"/>
      <c r="H50" s="196"/>
      <c r="I50" s="184"/>
      <c r="J50" s="197"/>
      <c r="K50" s="184"/>
      <c r="L50" s="184"/>
    </row>
    <row r="51" spans="1:12" ht="15.75" hidden="1">
      <c r="A51" s="198">
        <v>3</v>
      </c>
      <c r="B51" s="177" t="s">
        <v>203</v>
      </c>
      <c r="C51" s="176"/>
      <c r="D51" s="176"/>
      <c r="E51" s="176">
        <f>E52</f>
        <v>2</v>
      </c>
      <c r="F51" s="176">
        <f t="shared" ref="F51:K51" si="18">F52</f>
        <v>1</v>
      </c>
      <c r="G51" s="176">
        <f t="shared" si="18"/>
        <v>1</v>
      </c>
      <c r="H51" s="176">
        <f t="shared" si="18"/>
        <v>0</v>
      </c>
      <c r="I51" s="176">
        <f t="shared" si="18"/>
        <v>0</v>
      </c>
      <c r="J51" s="176">
        <f t="shared" si="18"/>
        <v>0</v>
      </c>
      <c r="K51" s="176">
        <f t="shared" si="18"/>
        <v>0</v>
      </c>
      <c r="L51" s="178"/>
    </row>
    <row r="52" spans="1:12" ht="17.25" hidden="1">
      <c r="A52" s="179" t="s">
        <v>189</v>
      </c>
      <c r="B52" s="213" t="s">
        <v>295</v>
      </c>
      <c r="C52" s="176"/>
      <c r="D52" s="176"/>
      <c r="E52" s="188">
        <f>SUM(E53:E54)</f>
        <v>2</v>
      </c>
      <c r="F52" s="188">
        <f t="shared" ref="F52:K52" si="19">SUM(F53:F54)</f>
        <v>1</v>
      </c>
      <c r="G52" s="188">
        <f t="shared" si="19"/>
        <v>1</v>
      </c>
      <c r="H52" s="188">
        <f t="shared" si="19"/>
        <v>0</v>
      </c>
      <c r="I52" s="188">
        <f t="shared" si="19"/>
        <v>0</v>
      </c>
      <c r="J52" s="188">
        <f t="shared" si="19"/>
        <v>0</v>
      </c>
      <c r="K52" s="188">
        <f t="shared" si="19"/>
        <v>0</v>
      </c>
      <c r="L52" s="181"/>
    </row>
    <row r="53" spans="1:12" ht="15.75" hidden="1">
      <c r="A53" s="214"/>
      <c r="B53" s="187" t="s">
        <v>296</v>
      </c>
      <c r="C53" s="137"/>
      <c r="D53" s="137"/>
      <c r="E53" s="137">
        <f>SUM(F53:G53)</f>
        <v>1</v>
      </c>
      <c r="F53" s="137">
        <v>1</v>
      </c>
      <c r="G53" s="137"/>
      <c r="H53" s="196"/>
      <c r="I53" s="184"/>
      <c r="J53" s="197"/>
      <c r="K53" s="184"/>
      <c r="L53" s="184"/>
    </row>
    <row r="54" spans="1:12" ht="15.75" hidden="1">
      <c r="A54" s="214"/>
      <c r="B54" s="187" t="s">
        <v>297</v>
      </c>
      <c r="C54" s="137"/>
      <c r="D54" s="137"/>
      <c r="E54" s="137">
        <f>SUM(F54:G54)</f>
        <v>1</v>
      </c>
      <c r="F54" s="137"/>
      <c r="G54" s="137">
        <v>1</v>
      </c>
      <c r="H54" s="196"/>
      <c r="I54" s="184"/>
      <c r="J54" s="197"/>
      <c r="K54" s="184"/>
      <c r="L54" s="184"/>
    </row>
    <row r="55" spans="1:12" ht="25.5" customHeight="1">
      <c r="A55" s="176" t="s">
        <v>82</v>
      </c>
      <c r="B55" s="177" t="s">
        <v>48</v>
      </c>
      <c r="C55" s="176">
        <v>6</v>
      </c>
      <c r="D55" s="176">
        <v>6</v>
      </c>
      <c r="E55" s="176">
        <f>E56+E61+E65</f>
        <v>6</v>
      </c>
      <c r="F55" s="176">
        <f>F56+F61+F65</f>
        <v>4</v>
      </c>
      <c r="G55" s="176">
        <f>G56+G61+G65</f>
        <v>2</v>
      </c>
      <c r="H55" s="211">
        <v>14100</v>
      </c>
      <c r="I55" s="178">
        <f>J55+K55</f>
        <v>9692</v>
      </c>
      <c r="J55" s="199">
        <v>3077</v>
      </c>
      <c r="K55" s="178">
        <v>6615</v>
      </c>
      <c r="L55" s="178"/>
    </row>
    <row r="56" spans="1:12" ht="15.75" hidden="1">
      <c r="A56" s="215">
        <v>1</v>
      </c>
      <c r="B56" s="177" t="s">
        <v>141</v>
      </c>
      <c r="C56" s="176"/>
      <c r="D56" s="176"/>
      <c r="E56" s="176">
        <f>E57+E59</f>
        <v>2</v>
      </c>
      <c r="F56" s="176">
        <f>F57+F59</f>
        <v>2</v>
      </c>
      <c r="G56" s="176">
        <f>G57+G59</f>
        <v>0</v>
      </c>
      <c r="H56" s="211"/>
      <c r="I56" s="178"/>
      <c r="J56" s="212"/>
      <c r="K56" s="178"/>
      <c r="L56" s="178"/>
    </row>
    <row r="57" spans="1:12" ht="15.75" hidden="1">
      <c r="A57" s="179" t="s">
        <v>122</v>
      </c>
      <c r="B57" s="180" t="s">
        <v>298</v>
      </c>
      <c r="C57" s="176"/>
      <c r="D57" s="176"/>
      <c r="E57" s="188">
        <f>E58</f>
        <v>1</v>
      </c>
      <c r="F57" s="188">
        <f t="shared" ref="F57:K57" si="20">F58</f>
        <v>1</v>
      </c>
      <c r="G57" s="188">
        <f t="shared" si="20"/>
        <v>0</v>
      </c>
      <c r="H57" s="188">
        <f t="shared" si="20"/>
        <v>0</v>
      </c>
      <c r="I57" s="188">
        <f t="shared" si="20"/>
        <v>0</v>
      </c>
      <c r="J57" s="188">
        <f t="shared" si="20"/>
        <v>0</v>
      </c>
      <c r="K57" s="188">
        <f t="shared" si="20"/>
        <v>0</v>
      </c>
      <c r="L57" s="181"/>
    </row>
    <row r="58" spans="1:12" ht="15.75" hidden="1">
      <c r="A58" s="214"/>
      <c r="B58" s="187" t="s">
        <v>299</v>
      </c>
      <c r="C58" s="137"/>
      <c r="D58" s="137"/>
      <c r="E58" s="137">
        <f>SUM(F58:G58)</f>
        <v>1</v>
      </c>
      <c r="F58" s="137">
        <v>1</v>
      </c>
      <c r="G58" s="137"/>
      <c r="H58" s="196"/>
      <c r="I58" s="184"/>
      <c r="J58" s="197"/>
      <c r="K58" s="184"/>
      <c r="L58" s="184"/>
    </row>
    <row r="59" spans="1:12" ht="15.75" hidden="1">
      <c r="A59" s="188" t="s">
        <v>124</v>
      </c>
      <c r="B59" s="180" t="s">
        <v>300</v>
      </c>
      <c r="C59" s="188"/>
      <c r="D59" s="188"/>
      <c r="E59" s="188">
        <f>E60</f>
        <v>1</v>
      </c>
      <c r="F59" s="188">
        <f t="shared" ref="F59:K59" si="21">F60</f>
        <v>1</v>
      </c>
      <c r="G59" s="188">
        <f t="shared" si="21"/>
        <v>0</v>
      </c>
      <c r="H59" s="188">
        <f t="shared" si="21"/>
        <v>0</v>
      </c>
      <c r="I59" s="188">
        <f t="shared" si="21"/>
        <v>0</v>
      </c>
      <c r="J59" s="188">
        <f t="shared" si="21"/>
        <v>0</v>
      </c>
      <c r="K59" s="188">
        <f t="shared" si="21"/>
        <v>0</v>
      </c>
      <c r="L59" s="181"/>
    </row>
    <row r="60" spans="1:12" ht="15.75" hidden="1">
      <c r="A60" s="216"/>
      <c r="B60" s="189" t="s">
        <v>301</v>
      </c>
      <c r="C60" s="151"/>
      <c r="D60" s="151"/>
      <c r="E60" s="151">
        <f>SUM(F60:G60)</f>
        <v>1</v>
      </c>
      <c r="F60" s="151">
        <v>1</v>
      </c>
      <c r="G60" s="151"/>
      <c r="H60" s="205"/>
      <c r="I60" s="191"/>
      <c r="J60" s="206"/>
      <c r="K60" s="191"/>
      <c r="L60" s="191"/>
    </row>
    <row r="61" spans="1:12" ht="15.75" hidden="1">
      <c r="A61" s="217">
        <v>2</v>
      </c>
      <c r="B61" s="194" t="s">
        <v>149</v>
      </c>
      <c r="C61" s="193"/>
      <c r="D61" s="193"/>
      <c r="E61" s="193">
        <f>E62</f>
        <v>2</v>
      </c>
      <c r="F61" s="193">
        <f t="shared" ref="F61:K61" si="22">F62</f>
        <v>1</v>
      </c>
      <c r="G61" s="193">
        <f t="shared" si="22"/>
        <v>1</v>
      </c>
      <c r="H61" s="193">
        <f t="shared" si="22"/>
        <v>0</v>
      </c>
      <c r="I61" s="193">
        <f t="shared" si="22"/>
        <v>0</v>
      </c>
      <c r="J61" s="193">
        <f t="shared" si="22"/>
        <v>0</v>
      </c>
      <c r="K61" s="193">
        <f t="shared" si="22"/>
        <v>0</v>
      </c>
      <c r="L61" s="195"/>
    </row>
    <row r="62" spans="1:12" ht="15.75" hidden="1">
      <c r="A62" s="179" t="s">
        <v>6</v>
      </c>
      <c r="B62" s="180" t="s">
        <v>302</v>
      </c>
      <c r="C62" s="176"/>
      <c r="D62" s="176"/>
      <c r="E62" s="188">
        <f>SUM(E63:E64)</f>
        <v>2</v>
      </c>
      <c r="F62" s="188">
        <f t="shared" ref="F62:K62" si="23">SUM(F63:F64)</f>
        <v>1</v>
      </c>
      <c r="G62" s="188">
        <f t="shared" si="23"/>
        <v>1</v>
      </c>
      <c r="H62" s="188">
        <f t="shared" si="23"/>
        <v>0</v>
      </c>
      <c r="I62" s="188">
        <f t="shared" si="23"/>
        <v>0</v>
      </c>
      <c r="J62" s="188">
        <f t="shared" si="23"/>
        <v>0</v>
      </c>
      <c r="K62" s="188">
        <f t="shared" si="23"/>
        <v>0</v>
      </c>
      <c r="L62" s="181"/>
    </row>
    <row r="63" spans="1:12" ht="15.75" hidden="1">
      <c r="A63" s="214"/>
      <c r="B63" s="187" t="s">
        <v>303</v>
      </c>
      <c r="C63" s="137"/>
      <c r="D63" s="137"/>
      <c r="E63" s="137">
        <f>SUM(F63:G63)</f>
        <v>1</v>
      </c>
      <c r="F63" s="137"/>
      <c r="G63" s="137">
        <v>1</v>
      </c>
      <c r="H63" s="196"/>
      <c r="I63" s="184"/>
      <c r="J63" s="197"/>
      <c r="K63" s="184"/>
      <c r="L63" s="184"/>
    </row>
    <row r="64" spans="1:12" ht="15.75" hidden="1">
      <c r="A64" s="214"/>
      <c r="B64" s="187" t="s">
        <v>304</v>
      </c>
      <c r="C64" s="137"/>
      <c r="D64" s="137"/>
      <c r="E64" s="137">
        <f>SUM(F64:G64)</f>
        <v>1</v>
      </c>
      <c r="F64" s="137">
        <v>1</v>
      </c>
      <c r="G64" s="137"/>
      <c r="H64" s="196"/>
      <c r="I64" s="184"/>
      <c r="J64" s="197"/>
      <c r="K64" s="184"/>
      <c r="L64" s="184"/>
    </row>
    <row r="65" spans="1:12" ht="15.75" hidden="1">
      <c r="A65" s="215">
        <v>3</v>
      </c>
      <c r="B65" s="177" t="s">
        <v>150</v>
      </c>
      <c r="C65" s="176"/>
      <c r="D65" s="176"/>
      <c r="E65" s="176">
        <f>E66+E68</f>
        <v>2</v>
      </c>
      <c r="F65" s="176">
        <f t="shared" ref="F65:K65" si="24">F66+F68</f>
        <v>1</v>
      </c>
      <c r="G65" s="176">
        <f t="shared" si="24"/>
        <v>1</v>
      </c>
      <c r="H65" s="176">
        <f t="shared" si="24"/>
        <v>0</v>
      </c>
      <c r="I65" s="176">
        <f t="shared" si="24"/>
        <v>0</v>
      </c>
      <c r="J65" s="176">
        <f t="shared" si="24"/>
        <v>0</v>
      </c>
      <c r="K65" s="176">
        <f t="shared" si="24"/>
        <v>0</v>
      </c>
      <c r="L65" s="178"/>
    </row>
    <row r="66" spans="1:12" ht="15.75" hidden="1">
      <c r="A66" s="179" t="s">
        <v>189</v>
      </c>
      <c r="B66" s="180" t="s">
        <v>305</v>
      </c>
      <c r="C66" s="176"/>
      <c r="D66" s="176"/>
      <c r="E66" s="188">
        <f>E67</f>
        <v>1</v>
      </c>
      <c r="F66" s="188">
        <f t="shared" ref="F66:K66" si="25">F67</f>
        <v>0</v>
      </c>
      <c r="G66" s="188">
        <f t="shared" si="25"/>
        <v>1</v>
      </c>
      <c r="H66" s="188">
        <f t="shared" si="25"/>
        <v>0</v>
      </c>
      <c r="I66" s="188">
        <f t="shared" si="25"/>
        <v>0</v>
      </c>
      <c r="J66" s="188">
        <f t="shared" si="25"/>
        <v>0</v>
      </c>
      <c r="K66" s="188">
        <f t="shared" si="25"/>
        <v>0</v>
      </c>
      <c r="L66" s="181"/>
    </row>
    <row r="67" spans="1:12" ht="15.75" hidden="1">
      <c r="A67" s="214"/>
      <c r="B67" s="187" t="s">
        <v>306</v>
      </c>
      <c r="C67" s="137"/>
      <c r="D67" s="137"/>
      <c r="E67" s="137">
        <f>SUM(F67:G67)</f>
        <v>1</v>
      </c>
      <c r="F67" s="137"/>
      <c r="G67" s="137">
        <v>1</v>
      </c>
      <c r="H67" s="196"/>
      <c r="I67" s="184"/>
      <c r="J67" s="197"/>
      <c r="K67" s="184"/>
      <c r="L67" s="184"/>
    </row>
    <row r="68" spans="1:12" ht="15.75" hidden="1">
      <c r="A68" s="188" t="s">
        <v>190</v>
      </c>
      <c r="B68" s="180" t="s">
        <v>307</v>
      </c>
      <c r="C68" s="188"/>
      <c r="D68" s="188"/>
      <c r="E68" s="188">
        <f>E69</f>
        <v>1</v>
      </c>
      <c r="F68" s="188">
        <f t="shared" ref="F68:K68" si="26">F69</f>
        <v>1</v>
      </c>
      <c r="G68" s="188">
        <f t="shared" si="26"/>
        <v>0</v>
      </c>
      <c r="H68" s="188">
        <f t="shared" si="26"/>
        <v>0</v>
      </c>
      <c r="I68" s="188">
        <f t="shared" si="26"/>
        <v>0</v>
      </c>
      <c r="J68" s="188">
        <f t="shared" si="26"/>
        <v>0</v>
      </c>
      <c r="K68" s="188">
        <f t="shared" si="26"/>
        <v>0</v>
      </c>
      <c r="L68" s="181"/>
    </row>
    <row r="69" spans="1:12" ht="15.75" hidden="1">
      <c r="A69" s="214"/>
      <c r="B69" s="187" t="s">
        <v>308</v>
      </c>
      <c r="C69" s="137"/>
      <c r="D69" s="137"/>
      <c r="E69" s="137">
        <f>SUM(F69:G69)</f>
        <v>1</v>
      </c>
      <c r="F69" s="137">
        <v>1</v>
      </c>
      <c r="G69" s="137"/>
      <c r="H69" s="196"/>
      <c r="I69" s="184"/>
      <c r="J69" s="197"/>
      <c r="K69" s="184"/>
      <c r="L69" s="184"/>
    </row>
    <row r="70" spans="1:12" ht="15.75">
      <c r="A70" s="176" t="s">
        <v>87</v>
      </c>
      <c r="B70" s="218" t="s">
        <v>49</v>
      </c>
      <c r="C70" s="176">
        <v>11</v>
      </c>
      <c r="D70" s="176">
        <v>11</v>
      </c>
      <c r="E70" s="176">
        <f>E71+E74+E78+E83+E86+E91+E94+E97</f>
        <v>11</v>
      </c>
      <c r="F70" s="176">
        <f>F71+F74+F78+F83+F86+F91+F94+F97</f>
        <v>3</v>
      </c>
      <c r="G70" s="176">
        <f>G71+G74+G78+G83+G86+G91+G94+G97</f>
        <v>8</v>
      </c>
      <c r="H70" s="211">
        <v>14100</v>
      </c>
      <c r="I70" s="178">
        <f>J70+K70</f>
        <v>17769</v>
      </c>
      <c r="J70" s="199">
        <f>5641</f>
        <v>5641</v>
      </c>
      <c r="K70" s="178">
        <v>12128</v>
      </c>
      <c r="L70" s="178"/>
    </row>
    <row r="71" spans="1:12" ht="15.75" hidden="1">
      <c r="A71" s="176">
        <v>1</v>
      </c>
      <c r="B71" s="218" t="s">
        <v>309</v>
      </c>
      <c r="C71" s="176"/>
      <c r="D71" s="176"/>
      <c r="E71" s="176">
        <f>E72</f>
        <v>1</v>
      </c>
      <c r="F71" s="176">
        <f t="shared" ref="F71:K72" si="27">F72</f>
        <v>0</v>
      </c>
      <c r="G71" s="176">
        <f t="shared" si="27"/>
        <v>1</v>
      </c>
      <c r="H71" s="176">
        <f t="shared" si="27"/>
        <v>0</v>
      </c>
      <c r="I71" s="176">
        <f t="shared" si="27"/>
        <v>0</v>
      </c>
      <c r="J71" s="176">
        <f t="shared" si="27"/>
        <v>0</v>
      </c>
      <c r="K71" s="176">
        <f t="shared" si="27"/>
        <v>0</v>
      </c>
      <c r="L71" s="178"/>
    </row>
    <row r="72" spans="1:12" ht="15.75" hidden="1">
      <c r="A72" s="188" t="s">
        <v>122</v>
      </c>
      <c r="B72" s="219" t="s">
        <v>310</v>
      </c>
      <c r="C72" s="188"/>
      <c r="D72" s="188"/>
      <c r="E72" s="188">
        <f>E73</f>
        <v>1</v>
      </c>
      <c r="F72" s="188">
        <f t="shared" si="27"/>
        <v>0</v>
      </c>
      <c r="G72" s="188">
        <f t="shared" si="27"/>
        <v>1</v>
      </c>
      <c r="H72" s="188">
        <f t="shared" si="27"/>
        <v>0</v>
      </c>
      <c r="I72" s="188">
        <f t="shared" si="27"/>
        <v>0</v>
      </c>
      <c r="J72" s="188">
        <f t="shared" si="27"/>
        <v>0</v>
      </c>
      <c r="K72" s="188">
        <f t="shared" si="27"/>
        <v>0</v>
      </c>
      <c r="L72" s="181"/>
    </row>
    <row r="73" spans="1:12" ht="15.75" hidden="1">
      <c r="A73" s="151"/>
      <c r="B73" s="220" t="s">
        <v>311</v>
      </c>
      <c r="C73" s="151"/>
      <c r="D73" s="151"/>
      <c r="E73" s="151">
        <f>SUM(F73:G73)</f>
        <v>1</v>
      </c>
      <c r="F73" s="151"/>
      <c r="G73" s="151">
        <v>1</v>
      </c>
      <c r="H73" s="205"/>
      <c r="I73" s="191"/>
      <c r="J73" s="206"/>
      <c r="K73" s="191"/>
      <c r="L73" s="191"/>
    </row>
    <row r="74" spans="1:12" ht="15.75" hidden="1">
      <c r="A74" s="193">
        <v>2</v>
      </c>
      <c r="B74" s="221" t="s">
        <v>312</v>
      </c>
      <c r="C74" s="193"/>
      <c r="D74" s="193"/>
      <c r="E74" s="193">
        <f>E75</f>
        <v>2</v>
      </c>
      <c r="F74" s="193">
        <f t="shared" ref="F74:K74" si="28">F75</f>
        <v>0</v>
      </c>
      <c r="G74" s="193">
        <f t="shared" si="28"/>
        <v>2</v>
      </c>
      <c r="H74" s="193">
        <f t="shared" si="28"/>
        <v>0</v>
      </c>
      <c r="I74" s="193">
        <f t="shared" si="28"/>
        <v>0</v>
      </c>
      <c r="J74" s="193">
        <f t="shared" si="28"/>
        <v>0</v>
      </c>
      <c r="K74" s="193">
        <f t="shared" si="28"/>
        <v>0</v>
      </c>
      <c r="L74" s="210"/>
    </row>
    <row r="75" spans="1:12" ht="15.75" hidden="1">
      <c r="A75" s="188" t="s">
        <v>6</v>
      </c>
      <c r="B75" s="219" t="s">
        <v>313</v>
      </c>
      <c r="C75" s="188"/>
      <c r="D75" s="188"/>
      <c r="E75" s="188">
        <f>SUM(E76:E77)</f>
        <v>2</v>
      </c>
      <c r="F75" s="188">
        <f t="shared" ref="F75:K75" si="29">SUM(F76:F77)</f>
        <v>0</v>
      </c>
      <c r="G75" s="188">
        <f t="shared" si="29"/>
        <v>2</v>
      </c>
      <c r="H75" s="188">
        <f t="shared" si="29"/>
        <v>0</v>
      </c>
      <c r="I75" s="188">
        <f t="shared" si="29"/>
        <v>0</v>
      </c>
      <c r="J75" s="188">
        <f t="shared" si="29"/>
        <v>0</v>
      </c>
      <c r="K75" s="188">
        <f t="shared" si="29"/>
        <v>0</v>
      </c>
      <c r="L75" s="181"/>
    </row>
    <row r="76" spans="1:12" ht="15.75" hidden="1">
      <c r="A76" s="137"/>
      <c r="B76" s="222" t="s">
        <v>314</v>
      </c>
      <c r="C76" s="176"/>
      <c r="D76" s="137"/>
      <c r="E76" s="137">
        <f>SUM(F76:G76)</f>
        <v>1</v>
      </c>
      <c r="F76" s="137"/>
      <c r="G76" s="137">
        <v>1</v>
      </c>
      <c r="H76" s="211"/>
      <c r="I76" s="178"/>
      <c r="J76" s="212"/>
      <c r="K76" s="178"/>
      <c r="L76" s="178"/>
    </row>
    <row r="77" spans="1:12" ht="15.75" hidden="1">
      <c r="A77" s="137"/>
      <c r="B77" s="222" t="s">
        <v>315</v>
      </c>
      <c r="C77" s="176"/>
      <c r="D77" s="137"/>
      <c r="E77" s="137">
        <f>SUM(F77:G77)</f>
        <v>1</v>
      </c>
      <c r="F77" s="137"/>
      <c r="G77" s="137">
        <v>1</v>
      </c>
      <c r="H77" s="223"/>
      <c r="I77" s="178"/>
      <c r="J77" s="224"/>
      <c r="K77" s="181"/>
      <c r="L77" s="181"/>
    </row>
    <row r="78" spans="1:12" ht="15.75" hidden="1">
      <c r="A78" s="176">
        <v>3</v>
      </c>
      <c r="B78" s="218" t="s">
        <v>316</v>
      </c>
      <c r="C78" s="176"/>
      <c r="D78" s="137"/>
      <c r="E78" s="176">
        <f>E79+E81</f>
        <v>2</v>
      </c>
      <c r="F78" s="176">
        <f t="shared" ref="F78:K78" si="30">F79+F81</f>
        <v>1</v>
      </c>
      <c r="G78" s="176">
        <f t="shared" si="30"/>
        <v>1</v>
      </c>
      <c r="H78" s="176">
        <f t="shared" si="30"/>
        <v>0</v>
      </c>
      <c r="I78" s="176">
        <f t="shared" si="30"/>
        <v>0</v>
      </c>
      <c r="J78" s="176">
        <f t="shared" si="30"/>
        <v>0</v>
      </c>
      <c r="K78" s="176">
        <f t="shared" si="30"/>
        <v>0</v>
      </c>
      <c r="L78" s="178"/>
    </row>
    <row r="79" spans="1:12" ht="15.75" hidden="1">
      <c r="A79" s="188" t="s">
        <v>189</v>
      </c>
      <c r="B79" s="219" t="s">
        <v>317</v>
      </c>
      <c r="C79" s="188"/>
      <c r="D79" s="225"/>
      <c r="E79" s="188">
        <f>E80</f>
        <v>1</v>
      </c>
      <c r="F79" s="188">
        <f t="shared" ref="F79:K79" si="31">F80</f>
        <v>1</v>
      </c>
      <c r="G79" s="188">
        <f t="shared" si="31"/>
        <v>0</v>
      </c>
      <c r="H79" s="188">
        <f t="shared" si="31"/>
        <v>0</v>
      </c>
      <c r="I79" s="188">
        <f t="shared" si="31"/>
        <v>0</v>
      </c>
      <c r="J79" s="188">
        <f t="shared" si="31"/>
        <v>0</v>
      </c>
      <c r="K79" s="188">
        <f t="shared" si="31"/>
        <v>0</v>
      </c>
      <c r="L79" s="181"/>
    </row>
    <row r="80" spans="1:12" ht="15.75" hidden="1">
      <c r="A80" s="137"/>
      <c r="B80" s="222" t="s">
        <v>318</v>
      </c>
      <c r="C80" s="176"/>
      <c r="D80" s="137"/>
      <c r="E80" s="137">
        <v>1</v>
      </c>
      <c r="F80" s="137">
        <v>1</v>
      </c>
      <c r="G80" s="137"/>
      <c r="H80" s="211"/>
      <c r="I80" s="178"/>
      <c r="J80" s="212"/>
      <c r="K80" s="178"/>
      <c r="L80" s="178"/>
    </row>
    <row r="81" spans="1:12" ht="15.75" hidden="1">
      <c r="A81" s="188" t="s">
        <v>190</v>
      </c>
      <c r="B81" s="219" t="s">
        <v>319</v>
      </c>
      <c r="C81" s="188"/>
      <c r="D81" s="225"/>
      <c r="E81" s="188">
        <f>E82</f>
        <v>1</v>
      </c>
      <c r="F81" s="188">
        <f t="shared" ref="F81:K81" si="32">F82</f>
        <v>0</v>
      </c>
      <c r="G81" s="188">
        <f t="shared" si="32"/>
        <v>1</v>
      </c>
      <c r="H81" s="188">
        <f t="shared" si="32"/>
        <v>0</v>
      </c>
      <c r="I81" s="188">
        <f t="shared" si="32"/>
        <v>0</v>
      </c>
      <c r="J81" s="188">
        <f t="shared" si="32"/>
        <v>0</v>
      </c>
      <c r="K81" s="188">
        <f t="shared" si="32"/>
        <v>0</v>
      </c>
      <c r="L81" s="181"/>
    </row>
    <row r="82" spans="1:12" ht="15.75" hidden="1">
      <c r="A82" s="137"/>
      <c r="B82" s="222" t="s">
        <v>320</v>
      </c>
      <c r="C82" s="137"/>
      <c r="D82" s="137"/>
      <c r="E82" s="137">
        <f>SUM(F82:G82)</f>
        <v>1</v>
      </c>
      <c r="F82" s="137"/>
      <c r="G82" s="137">
        <v>1</v>
      </c>
      <c r="H82" s="196"/>
      <c r="I82" s="184"/>
      <c r="J82" s="197"/>
      <c r="K82" s="184"/>
      <c r="L82" s="184"/>
    </row>
    <row r="83" spans="1:12" ht="15.75" hidden="1">
      <c r="A83" s="176">
        <v>4</v>
      </c>
      <c r="B83" s="218" t="s">
        <v>321</v>
      </c>
      <c r="C83" s="176"/>
      <c r="D83" s="137"/>
      <c r="E83" s="176">
        <f>E84</f>
        <v>1</v>
      </c>
      <c r="F83" s="176">
        <f t="shared" ref="F83:K84" si="33">F84</f>
        <v>0</v>
      </c>
      <c r="G83" s="176">
        <f t="shared" si="33"/>
        <v>1</v>
      </c>
      <c r="H83" s="176">
        <f t="shared" si="33"/>
        <v>0</v>
      </c>
      <c r="I83" s="176">
        <f t="shared" si="33"/>
        <v>0</v>
      </c>
      <c r="J83" s="176">
        <f t="shared" si="33"/>
        <v>0</v>
      </c>
      <c r="K83" s="176">
        <f t="shared" si="33"/>
        <v>0</v>
      </c>
      <c r="L83" s="178"/>
    </row>
    <row r="84" spans="1:12" ht="15.75" hidden="1">
      <c r="A84" s="188" t="s">
        <v>199</v>
      </c>
      <c r="B84" s="219" t="s">
        <v>322</v>
      </c>
      <c r="C84" s="188"/>
      <c r="D84" s="225"/>
      <c r="E84" s="188">
        <f>E85</f>
        <v>1</v>
      </c>
      <c r="F84" s="188">
        <f t="shared" si="33"/>
        <v>0</v>
      </c>
      <c r="G84" s="188">
        <f t="shared" si="33"/>
        <v>1</v>
      </c>
      <c r="H84" s="188">
        <f t="shared" si="33"/>
        <v>0</v>
      </c>
      <c r="I84" s="188">
        <f t="shared" si="33"/>
        <v>0</v>
      </c>
      <c r="J84" s="188">
        <f t="shared" si="33"/>
        <v>0</v>
      </c>
      <c r="K84" s="188">
        <f t="shared" si="33"/>
        <v>0</v>
      </c>
      <c r="L84" s="181"/>
    </row>
    <row r="85" spans="1:12" ht="15.75" hidden="1">
      <c r="A85" s="151"/>
      <c r="B85" s="220" t="s">
        <v>323</v>
      </c>
      <c r="C85" s="151"/>
      <c r="D85" s="151"/>
      <c r="E85" s="151">
        <v>1</v>
      </c>
      <c r="F85" s="151"/>
      <c r="G85" s="151">
        <v>1</v>
      </c>
      <c r="H85" s="205"/>
      <c r="I85" s="191"/>
      <c r="J85" s="206"/>
      <c r="K85" s="191"/>
      <c r="L85" s="191"/>
    </row>
    <row r="86" spans="1:12" ht="15.75" hidden="1">
      <c r="A86" s="193">
        <v>5</v>
      </c>
      <c r="B86" s="221" t="s">
        <v>324</v>
      </c>
      <c r="C86" s="193"/>
      <c r="D86" s="226"/>
      <c r="E86" s="193">
        <f>E87+E89</f>
        <v>2</v>
      </c>
      <c r="F86" s="193">
        <f t="shared" ref="F86:K86" si="34">F87+F89</f>
        <v>1</v>
      </c>
      <c r="G86" s="193">
        <f t="shared" si="34"/>
        <v>1</v>
      </c>
      <c r="H86" s="193">
        <f t="shared" si="34"/>
        <v>0</v>
      </c>
      <c r="I86" s="193">
        <f t="shared" si="34"/>
        <v>0</v>
      </c>
      <c r="J86" s="193">
        <f t="shared" si="34"/>
        <v>0</v>
      </c>
      <c r="K86" s="193">
        <f t="shared" si="34"/>
        <v>0</v>
      </c>
      <c r="L86" s="195"/>
    </row>
    <row r="87" spans="1:12" ht="15.75" hidden="1">
      <c r="A87" s="188" t="s">
        <v>191</v>
      </c>
      <c r="B87" s="219" t="s">
        <v>325</v>
      </c>
      <c r="C87" s="188"/>
      <c r="D87" s="225"/>
      <c r="E87" s="188">
        <f>E88</f>
        <v>1</v>
      </c>
      <c r="F87" s="188">
        <f t="shared" ref="F87:K87" si="35">F88</f>
        <v>0</v>
      </c>
      <c r="G87" s="188">
        <f t="shared" si="35"/>
        <v>1</v>
      </c>
      <c r="H87" s="188">
        <f t="shared" si="35"/>
        <v>0</v>
      </c>
      <c r="I87" s="188">
        <f t="shared" si="35"/>
        <v>0</v>
      </c>
      <c r="J87" s="188">
        <f t="shared" si="35"/>
        <v>0</v>
      </c>
      <c r="K87" s="188">
        <f t="shared" si="35"/>
        <v>0</v>
      </c>
      <c r="L87" s="181"/>
    </row>
    <row r="88" spans="1:12" ht="15.75" hidden="1">
      <c r="A88" s="137"/>
      <c r="B88" s="222" t="s">
        <v>326</v>
      </c>
      <c r="C88" s="176"/>
      <c r="D88" s="137"/>
      <c r="E88" s="137">
        <v>1</v>
      </c>
      <c r="F88" s="137"/>
      <c r="G88" s="137">
        <v>1</v>
      </c>
      <c r="H88" s="223"/>
      <c r="I88" s="178"/>
      <c r="J88" s="224"/>
      <c r="K88" s="181"/>
      <c r="L88" s="181"/>
    </row>
    <row r="89" spans="1:12" ht="15.75" hidden="1">
      <c r="A89" s="188" t="s">
        <v>192</v>
      </c>
      <c r="B89" s="219" t="s">
        <v>327</v>
      </c>
      <c r="C89" s="188"/>
      <c r="D89" s="225"/>
      <c r="E89" s="188">
        <f>E90</f>
        <v>1</v>
      </c>
      <c r="F89" s="188">
        <f t="shared" ref="F89:K89" si="36">F90</f>
        <v>1</v>
      </c>
      <c r="G89" s="188">
        <f t="shared" si="36"/>
        <v>0</v>
      </c>
      <c r="H89" s="188">
        <f t="shared" si="36"/>
        <v>0</v>
      </c>
      <c r="I89" s="188">
        <f t="shared" si="36"/>
        <v>0</v>
      </c>
      <c r="J89" s="188">
        <f t="shared" si="36"/>
        <v>0</v>
      </c>
      <c r="K89" s="188">
        <f t="shared" si="36"/>
        <v>0</v>
      </c>
      <c r="L89" s="181"/>
    </row>
    <row r="90" spans="1:12" ht="15.75" hidden="1">
      <c r="A90" s="137"/>
      <c r="B90" s="222" t="s">
        <v>328</v>
      </c>
      <c r="C90" s="176"/>
      <c r="D90" s="137"/>
      <c r="E90" s="137">
        <f>SUM(F90:G90)</f>
        <v>1</v>
      </c>
      <c r="F90" s="137">
        <v>1</v>
      </c>
      <c r="G90" s="137"/>
      <c r="H90" s="211"/>
      <c r="I90" s="178"/>
      <c r="J90" s="212"/>
      <c r="K90" s="178"/>
      <c r="L90" s="178"/>
    </row>
    <row r="91" spans="1:12" ht="15.75" hidden="1">
      <c r="A91" s="176">
        <v>6</v>
      </c>
      <c r="B91" s="218" t="s">
        <v>329</v>
      </c>
      <c r="C91" s="176"/>
      <c r="D91" s="137"/>
      <c r="E91" s="176">
        <f>E92</f>
        <v>1</v>
      </c>
      <c r="F91" s="176">
        <f t="shared" ref="F91:K92" si="37">F92</f>
        <v>1</v>
      </c>
      <c r="G91" s="176">
        <f t="shared" si="37"/>
        <v>0</v>
      </c>
      <c r="H91" s="176">
        <f t="shared" si="37"/>
        <v>0</v>
      </c>
      <c r="I91" s="176">
        <f t="shared" si="37"/>
        <v>0</v>
      </c>
      <c r="J91" s="176">
        <f t="shared" si="37"/>
        <v>0</v>
      </c>
      <c r="K91" s="176">
        <f t="shared" si="37"/>
        <v>0</v>
      </c>
      <c r="L91" s="181"/>
    </row>
    <row r="92" spans="1:12" ht="15.75" hidden="1">
      <c r="A92" s="188" t="s">
        <v>193</v>
      </c>
      <c r="B92" s="219" t="s">
        <v>330</v>
      </c>
      <c r="C92" s="188"/>
      <c r="D92" s="225"/>
      <c r="E92" s="188">
        <f>E93</f>
        <v>1</v>
      </c>
      <c r="F92" s="188">
        <f t="shared" si="37"/>
        <v>1</v>
      </c>
      <c r="G92" s="188">
        <f t="shared" si="37"/>
        <v>0</v>
      </c>
      <c r="H92" s="188">
        <f t="shared" si="37"/>
        <v>0</v>
      </c>
      <c r="I92" s="188">
        <f t="shared" si="37"/>
        <v>0</v>
      </c>
      <c r="J92" s="188">
        <f t="shared" si="37"/>
        <v>0</v>
      </c>
      <c r="K92" s="188">
        <f t="shared" si="37"/>
        <v>0</v>
      </c>
      <c r="L92" s="181"/>
    </row>
    <row r="93" spans="1:12" ht="15.75" hidden="1">
      <c r="A93" s="137"/>
      <c r="B93" s="222" t="s">
        <v>331</v>
      </c>
      <c r="C93" s="176"/>
      <c r="D93" s="137"/>
      <c r="E93" s="137">
        <f>SUM(F93:G93)</f>
        <v>1</v>
      </c>
      <c r="F93" s="137">
        <v>1</v>
      </c>
      <c r="G93" s="137"/>
      <c r="H93" s="211"/>
      <c r="I93" s="178"/>
      <c r="J93" s="212"/>
      <c r="K93" s="178"/>
      <c r="L93" s="178"/>
    </row>
    <row r="94" spans="1:12" ht="15.75" hidden="1">
      <c r="A94" s="176">
        <v>7</v>
      </c>
      <c r="B94" s="218" t="s">
        <v>332</v>
      </c>
      <c r="C94" s="176"/>
      <c r="D94" s="137"/>
      <c r="E94" s="176">
        <f>E95</f>
        <v>1</v>
      </c>
      <c r="F94" s="176">
        <f t="shared" ref="F94:K95" si="38">F95</f>
        <v>0</v>
      </c>
      <c r="G94" s="176">
        <f t="shared" si="38"/>
        <v>1</v>
      </c>
      <c r="H94" s="176">
        <f t="shared" si="38"/>
        <v>0</v>
      </c>
      <c r="I94" s="176">
        <f t="shared" si="38"/>
        <v>0</v>
      </c>
      <c r="J94" s="176">
        <f t="shared" si="38"/>
        <v>0</v>
      </c>
      <c r="K94" s="176">
        <f t="shared" si="38"/>
        <v>0</v>
      </c>
      <c r="L94" s="181"/>
    </row>
    <row r="95" spans="1:12" ht="15.75" hidden="1">
      <c r="A95" s="188" t="s">
        <v>333</v>
      </c>
      <c r="B95" s="219" t="s">
        <v>334</v>
      </c>
      <c r="C95" s="188"/>
      <c r="D95" s="225"/>
      <c r="E95" s="188">
        <f>E96</f>
        <v>1</v>
      </c>
      <c r="F95" s="188">
        <f t="shared" si="38"/>
        <v>0</v>
      </c>
      <c r="G95" s="188">
        <f t="shared" si="38"/>
        <v>1</v>
      </c>
      <c r="H95" s="188">
        <f t="shared" si="38"/>
        <v>0</v>
      </c>
      <c r="I95" s="188">
        <f t="shared" si="38"/>
        <v>0</v>
      </c>
      <c r="J95" s="188">
        <f t="shared" si="38"/>
        <v>0</v>
      </c>
      <c r="K95" s="188">
        <f t="shared" si="38"/>
        <v>0</v>
      </c>
      <c r="L95" s="181"/>
    </row>
    <row r="96" spans="1:12" ht="15.75" hidden="1">
      <c r="A96" s="137"/>
      <c r="B96" s="222" t="s">
        <v>335</v>
      </c>
      <c r="C96" s="176"/>
      <c r="D96" s="137"/>
      <c r="E96" s="137">
        <f>SUM(F96:G96)</f>
        <v>1</v>
      </c>
      <c r="F96" s="137"/>
      <c r="G96" s="137">
        <v>1</v>
      </c>
      <c r="H96" s="211"/>
      <c r="I96" s="178"/>
      <c r="J96" s="212"/>
      <c r="K96" s="178"/>
      <c r="L96" s="178"/>
    </row>
    <row r="97" spans="1:12" ht="15.75" hidden="1">
      <c r="A97" s="176">
        <v>8</v>
      </c>
      <c r="B97" s="218" t="s">
        <v>336</v>
      </c>
      <c r="C97" s="176"/>
      <c r="D97" s="137"/>
      <c r="E97" s="176">
        <f>E98</f>
        <v>1</v>
      </c>
      <c r="F97" s="176">
        <f t="shared" ref="F97:K98" si="39">F98</f>
        <v>0</v>
      </c>
      <c r="G97" s="176">
        <f t="shared" si="39"/>
        <v>1</v>
      </c>
      <c r="H97" s="176">
        <f t="shared" si="39"/>
        <v>0</v>
      </c>
      <c r="I97" s="176">
        <f t="shared" si="39"/>
        <v>0</v>
      </c>
      <c r="J97" s="176">
        <f t="shared" si="39"/>
        <v>0</v>
      </c>
      <c r="K97" s="176">
        <f t="shared" si="39"/>
        <v>0</v>
      </c>
      <c r="L97" s="181"/>
    </row>
    <row r="98" spans="1:12" ht="15.75" hidden="1">
      <c r="A98" s="188" t="s">
        <v>337</v>
      </c>
      <c r="B98" s="219" t="s">
        <v>338</v>
      </c>
      <c r="C98" s="188"/>
      <c r="D98" s="225"/>
      <c r="E98" s="188">
        <f>E99</f>
        <v>1</v>
      </c>
      <c r="F98" s="188">
        <f t="shared" si="39"/>
        <v>0</v>
      </c>
      <c r="G98" s="188">
        <f t="shared" si="39"/>
        <v>1</v>
      </c>
      <c r="H98" s="188">
        <f t="shared" si="39"/>
        <v>0</v>
      </c>
      <c r="I98" s="188">
        <f t="shared" si="39"/>
        <v>0</v>
      </c>
      <c r="J98" s="188">
        <f t="shared" si="39"/>
        <v>0</v>
      </c>
      <c r="K98" s="188">
        <f t="shared" si="39"/>
        <v>0</v>
      </c>
      <c r="L98" s="181"/>
    </row>
    <row r="99" spans="1:12" ht="15.75" hidden="1">
      <c r="A99" s="151"/>
      <c r="B99" s="220" t="s">
        <v>339</v>
      </c>
      <c r="C99" s="227"/>
      <c r="D99" s="151"/>
      <c r="E99" s="151">
        <f>SUM(F99:G99)</f>
        <v>1</v>
      </c>
      <c r="F99" s="151"/>
      <c r="G99" s="151">
        <v>1</v>
      </c>
      <c r="H99" s="228"/>
      <c r="I99" s="229"/>
      <c r="J99" s="230"/>
      <c r="K99" s="229"/>
      <c r="L99" s="229"/>
    </row>
    <row r="100" spans="1:12" ht="15.75">
      <c r="A100" s="171" t="s">
        <v>92</v>
      </c>
      <c r="B100" s="231" t="s">
        <v>50</v>
      </c>
      <c r="C100" s="171">
        <v>6</v>
      </c>
      <c r="D100" s="171">
        <v>6</v>
      </c>
      <c r="E100" s="171">
        <f>E101+E106+E111+E114</f>
        <v>6</v>
      </c>
      <c r="F100" s="171">
        <f>F101+F106+F111+F114</f>
        <v>4</v>
      </c>
      <c r="G100" s="171">
        <f>G101+G106+G111+G114</f>
        <v>2</v>
      </c>
      <c r="H100" s="232"/>
      <c r="I100" s="175">
        <f>J100+K100</f>
        <v>9692</v>
      </c>
      <c r="J100" s="233">
        <f>3077</f>
        <v>3077</v>
      </c>
      <c r="K100" s="175">
        <v>6615</v>
      </c>
      <c r="L100" s="175"/>
    </row>
    <row r="101" spans="1:12" ht="15.75" hidden="1">
      <c r="A101" s="176">
        <v>1</v>
      </c>
      <c r="B101" s="218" t="s">
        <v>151</v>
      </c>
      <c r="C101" s="176"/>
      <c r="D101" s="176"/>
      <c r="E101" s="176">
        <f>E102+E104</f>
        <v>2</v>
      </c>
      <c r="F101" s="176">
        <f>F102+F104</f>
        <v>2</v>
      </c>
      <c r="G101" s="176">
        <f>G102+G104</f>
        <v>0</v>
      </c>
      <c r="H101" s="211"/>
      <c r="I101" s="178"/>
      <c r="J101" s="212"/>
      <c r="K101" s="178"/>
      <c r="L101" s="178"/>
    </row>
    <row r="102" spans="1:12" ht="15.75" hidden="1">
      <c r="A102" s="188" t="s">
        <v>122</v>
      </c>
      <c r="B102" s="219" t="s">
        <v>340</v>
      </c>
      <c r="C102" s="188"/>
      <c r="D102" s="188"/>
      <c r="E102" s="188">
        <f>E103</f>
        <v>1</v>
      </c>
      <c r="F102" s="188">
        <f>F103</f>
        <v>1</v>
      </c>
      <c r="G102" s="188">
        <f>G103</f>
        <v>0</v>
      </c>
      <c r="H102" s="188">
        <f>H103</f>
        <v>0</v>
      </c>
      <c r="I102" s="181"/>
      <c r="J102" s="224"/>
      <c r="K102" s="181"/>
      <c r="L102" s="181"/>
    </row>
    <row r="103" spans="1:12" ht="15.75" hidden="1">
      <c r="A103" s="188"/>
      <c r="B103" s="222" t="s">
        <v>341</v>
      </c>
      <c r="C103" s="176"/>
      <c r="D103" s="176"/>
      <c r="E103" s="137">
        <v>1</v>
      </c>
      <c r="F103" s="137">
        <v>1</v>
      </c>
      <c r="G103" s="137"/>
      <c r="H103" s="223"/>
      <c r="I103" s="178"/>
      <c r="J103" s="224"/>
      <c r="K103" s="181"/>
      <c r="L103" s="181"/>
    </row>
    <row r="104" spans="1:12" ht="15.75" hidden="1">
      <c r="A104" s="188" t="s">
        <v>124</v>
      </c>
      <c r="B104" s="219" t="s">
        <v>342</v>
      </c>
      <c r="C104" s="188"/>
      <c r="D104" s="188"/>
      <c r="E104" s="188">
        <f>E105</f>
        <v>1</v>
      </c>
      <c r="F104" s="188">
        <f>F105</f>
        <v>1</v>
      </c>
      <c r="G104" s="188">
        <f>G105</f>
        <v>0</v>
      </c>
      <c r="H104" s="223"/>
      <c r="I104" s="181"/>
      <c r="J104" s="224"/>
      <c r="K104" s="181"/>
      <c r="L104" s="181"/>
    </row>
    <row r="105" spans="1:12" ht="15.75" hidden="1">
      <c r="A105" s="188"/>
      <c r="B105" s="222" t="s">
        <v>343</v>
      </c>
      <c r="C105" s="176"/>
      <c r="D105" s="176"/>
      <c r="E105" s="137">
        <f>SUM(F105:G105)</f>
        <v>1</v>
      </c>
      <c r="F105" s="137">
        <v>1</v>
      </c>
      <c r="G105" s="137"/>
      <c r="H105" s="223"/>
      <c r="I105" s="178"/>
      <c r="J105" s="224"/>
      <c r="K105" s="181"/>
      <c r="L105" s="181"/>
    </row>
    <row r="106" spans="1:12" ht="15.75" hidden="1">
      <c r="A106" s="176">
        <v>2</v>
      </c>
      <c r="B106" s="218" t="s">
        <v>152</v>
      </c>
      <c r="C106" s="176"/>
      <c r="D106" s="176"/>
      <c r="E106" s="176">
        <f>E107+E109</f>
        <v>2</v>
      </c>
      <c r="F106" s="176">
        <f>F107+F109</f>
        <v>0</v>
      </c>
      <c r="G106" s="176">
        <f>G107+G109</f>
        <v>2</v>
      </c>
      <c r="H106" s="176">
        <f>H107+H109</f>
        <v>0</v>
      </c>
      <c r="I106" s="178"/>
      <c r="J106" s="212"/>
      <c r="K106" s="178"/>
      <c r="L106" s="178"/>
    </row>
    <row r="107" spans="1:12" ht="15.75" hidden="1">
      <c r="A107" s="188" t="s">
        <v>6</v>
      </c>
      <c r="B107" s="219" t="s">
        <v>344</v>
      </c>
      <c r="C107" s="188"/>
      <c r="D107" s="188"/>
      <c r="E107" s="188">
        <f>E108</f>
        <v>1</v>
      </c>
      <c r="F107" s="188">
        <f>F108</f>
        <v>0</v>
      </c>
      <c r="G107" s="188">
        <f>G108</f>
        <v>1</v>
      </c>
      <c r="H107" s="188">
        <f>H108</f>
        <v>0</v>
      </c>
      <c r="I107" s="188">
        <f>I108</f>
        <v>0</v>
      </c>
      <c r="J107" s="224"/>
      <c r="K107" s="181"/>
      <c r="L107" s="181"/>
    </row>
    <row r="108" spans="1:12" ht="15.75" hidden="1">
      <c r="A108" s="188"/>
      <c r="B108" s="222" t="s">
        <v>345</v>
      </c>
      <c r="C108" s="176"/>
      <c r="D108" s="176"/>
      <c r="E108" s="137">
        <f>SUM(F108:G108)</f>
        <v>1</v>
      </c>
      <c r="F108" s="137"/>
      <c r="G108" s="137">
        <v>1</v>
      </c>
      <c r="H108" s="223"/>
      <c r="I108" s="178"/>
      <c r="J108" s="224"/>
      <c r="K108" s="181"/>
      <c r="L108" s="181"/>
    </row>
    <row r="109" spans="1:12" ht="15.75" hidden="1">
      <c r="A109" s="188" t="s">
        <v>7</v>
      </c>
      <c r="B109" s="219" t="s">
        <v>346</v>
      </c>
      <c r="C109" s="188"/>
      <c r="D109" s="188"/>
      <c r="E109" s="188">
        <f>E110</f>
        <v>1</v>
      </c>
      <c r="F109" s="188">
        <f>F110</f>
        <v>0</v>
      </c>
      <c r="G109" s="188">
        <f>G110</f>
        <v>1</v>
      </c>
      <c r="H109" s="188">
        <f>H110</f>
        <v>0</v>
      </c>
      <c r="I109" s="188">
        <f>I110</f>
        <v>0</v>
      </c>
      <c r="J109" s="224"/>
      <c r="K109" s="181"/>
      <c r="L109" s="181"/>
    </row>
    <row r="110" spans="1:12" ht="15.75" hidden="1">
      <c r="A110" s="188"/>
      <c r="B110" s="222" t="s">
        <v>347</v>
      </c>
      <c r="C110" s="137"/>
      <c r="D110" s="137"/>
      <c r="E110" s="137">
        <f>SUM(F110:G110)</f>
        <v>1</v>
      </c>
      <c r="F110" s="137"/>
      <c r="G110" s="137">
        <v>1</v>
      </c>
      <c r="H110" s="196"/>
      <c r="I110" s="137"/>
      <c r="J110" s="197"/>
      <c r="K110" s="184"/>
      <c r="L110" s="184"/>
    </row>
    <row r="111" spans="1:12" ht="15.75" hidden="1">
      <c r="A111" s="176">
        <v>3</v>
      </c>
      <c r="B111" s="218" t="s">
        <v>143</v>
      </c>
      <c r="C111" s="176"/>
      <c r="D111" s="176"/>
      <c r="E111" s="176">
        <f t="shared" ref="E111:G112" si="40">E112</f>
        <v>1</v>
      </c>
      <c r="F111" s="176">
        <f t="shared" si="40"/>
        <v>1</v>
      </c>
      <c r="G111" s="176">
        <f t="shared" si="40"/>
        <v>0</v>
      </c>
      <c r="H111" s="211"/>
      <c r="I111" s="178"/>
      <c r="J111" s="212"/>
      <c r="K111" s="178"/>
      <c r="L111" s="178"/>
    </row>
    <row r="112" spans="1:12" ht="15.75" hidden="1">
      <c r="A112" s="188" t="s">
        <v>189</v>
      </c>
      <c r="B112" s="219" t="s">
        <v>348</v>
      </c>
      <c r="C112" s="188"/>
      <c r="D112" s="188"/>
      <c r="E112" s="188">
        <f t="shared" si="40"/>
        <v>1</v>
      </c>
      <c r="F112" s="188">
        <f t="shared" si="40"/>
        <v>1</v>
      </c>
      <c r="G112" s="188">
        <f t="shared" si="40"/>
        <v>0</v>
      </c>
      <c r="H112" s="223"/>
      <c r="I112" s="181"/>
      <c r="J112" s="224"/>
      <c r="K112" s="181"/>
      <c r="L112" s="181"/>
    </row>
    <row r="113" spans="1:12" ht="15.75" hidden="1">
      <c r="A113" s="188"/>
      <c r="B113" s="222" t="s">
        <v>349</v>
      </c>
      <c r="C113" s="176"/>
      <c r="D113" s="176"/>
      <c r="E113" s="137">
        <f>SUM(F113:G113)</f>
        <v>1</v>
      </c>
      <c r="F113" s="137">
        <v>1</v>
      </c>
      <c r="G113" s="176"/>
      <c r="H113" s="211">
        <v>4700</v>
      </c>
      <c r="I113" s="178"/>
      <c r="J113" s="212"/>
      <c r="K113" s="178"/>
      <c r="L113" s="178"/>
    </row>
    <row r="114" spans="1:12" ht="15.75" hidden="1">
      <c r="A114" s="176">
        <v>4</v>
      </c>
      <c r="B114" s="218" t="s">
        <v>142</v>
      </c>
      <c r="C114" s="176"/>
      <c r="D114" s="176"/>
      <c r="E114" s="176">
        <f t="shared" ref="E114:G115" si="41">E115</f>
        <v>1</v>
      </c>
      <c r="F114" s="176">
        <f t="shared" si="41"/>
        <v>1</v>
      </c>
      <c r="G114" s="176">
        <f t="shared" si="41"/>
        <v>0</v>
      </c>
      <c r="H114" s="211"/>
      <c r="I114" s="178"/>
      <c r="J114" s="212"/>
      <c r="K114" s="178"/>
      <c r="L114" s="178"/>
    </row>
    <row r="115" spans="1:12" ht="15.75" hidden="1">
      <c r="A115" s="188" t="s">
        <v>199</v>
      </c>
      <c r="B115" s="219" t="s">
        <v>350</v>
      </c>
      <c r="C115" s="188"/>
      <c r="D115" s="188"/>
      <c r="E115" s="188">
        <f t="shared" si="41"/>
        <v>1</v>
      </c>
      <c r="F115" s="188">
        <f t="shared" si="41"/>
        <v>1</v>
      </c>
      <c r="G115" s="188">
        <f t="shared" si="41"/>
        <v>0</v>
      </c>
      <c r="H115" s="188">
        <f>H116</f>
        <v>0</v>
      </c>
      <c r="I115" s="181"/>
      <c r="J115" s="224"/>
      <c r="K115" s="181"/>
      <c r="L115" s="181"/>
    </row>
    <row r="116" spans="1:12" ht="15.75" hidden="1">
      <c r="A116" s="188"/>
      <c r="B116" s="222" t="s">
        <v>351</v>
      </c>
      <c r="C116" s="137"/>
      <c r="D116" s="137"/>
      <c r="E116" s="137">
        <f>SUM(F116:G116)</f>
        <v>1</v>
      </c>
      <c r="F116" s="137">
        <v>1</v>
      </c>
      <c r="G116" s="137">
        <v>0</v>
      </c>
      <c r="H116" s="196"/>
      <c r="I116" s="184"/>
      <c r="J116" s="197"/>
      <c r="K116" s="184"/>
      <c r="L116" s="184"/>
    </row>
  </sheetData>
  <mergeCells count="21">
    <mergeCell ref="L6:L9"/>
    <mergeCell ref="G8:G9"/>
    <mergeCell ref="F7:G7"/>
    <mergeCell ref="K8:K9"/>
    <mergeCell ref="K1:L1"/>
    <mergeCell ref="A2:L2"/>
    <mergeCell ref="A3:L3"/>
    <mergeCell ref="A4:L4"/>
    <mergeCell ref="K5:L5"/>
    <mergeCell ref="J8:J9"/>
    <mergeCell ref="J7:K7"/>
    <mergeCell ref="A6:A9"/>
    <mergeCell ref="I6:K6"/>
    <mergeCell ref="C6:C9"/>
    <mergeCell ref="F8:F9"/>
    <mergeCell ref="E6:G6"/>
    <mergeCell ref="B6:B9"/>
    <mergeCell ref="I7:I9"/>
    <mergeCell ref="D6:D9"/>
    <mergeCell ref="H6:H9"/>
    <mergeCell ref="E7: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FF00"/>
  </sheetPr>
  <dimension ref="A1:AD57"/>
  <sheetViews>
    <sheetView workbookViewId="0">
      <pane ySplit="7" topLeftCell="A20" activePane="bottomLeft" state="frozen"/>
      <selection activeCell="E25" sqref="E25"/>
      <selection pane="bottomLeft" activeCell="E25" sqref="E25"/>
    </sheetView>
  </sheetViews>
  <sheetFormatPr defaultRowHeight="15"/>
  <cols>
    <col min="1" max="1" width="3.375" style="240" customWidth="1"/>
    <col min="2" max="2" width="35.5" style="97" customWidth="1"/>
    <col min="3" max="3" width="4.5" style="95" customWidth="1"/>
    <col min="4" max="4" width="5.625" style="99" customWidth="1"/>
    <col min="5" max="5" width="8" style="95" customWidth="1"/>
    <col min="6" max="6" width="7.75" style="100" customWidth="1"/>
    <col min="7" max="7" width="8.125" style="97" customWidth="1"/>
    <col min="8" max="8" width="12.25" style="97" customWidth="1"/>
    <col min="9" max="9" width="9.125" style="97" customWidth="1"/>
    <col min="10" max="10" width="9.75" style="97" customWidth="1"/>
    <col min="11" max="11" width="8.25" style="97" customWidth="1"/>
    <col min="12" max="12" width="10.5" style="97" customWidth="1"/>
    <col min="13" max="13" width="8.125" style="97" customWidth="1"/>
    <col min="14" max="14" width="7.75" style="96" customWidth="1"/>
    <col min="15" max="15" width="8.375" style="96" customWidth="1"/>
    <col min="16" max="16" width="12.125" style="96" customWidth="1"/>
    <col min="17" max="17" width="7.875" style="97" customWidth="1"/>
    <col min="18" max="18" width="10.125" style="96" customWidth="1"/>
    <col min="19" max="19" width="7.375" style="96" customWidth="1"/>
    <col min="20" max="20" width="7.5" style="97" customWidth="1"/>
    <col min="21" max="21" width="8.375" style="97" hidden="1" customWidth="1"/>
    <col min="22" max="22" width="6.125" style="97" hidden="1" customWidth="1"/>
    <col min="23" max="23" width="8.625" style="97" customWidth="1"/>
    <col min="24" max="24" width="7.375" style="96" customWidth="1"/>
    <col min="25" max="25" width="7.625" style="96" customWidth="1"/>
    <col min="26" max="26" width="13.125" style="98" hidden="1" customWidth="1"/>
    <col min="27" max="27" width="5" style="98" hidden="1" customWidth="1"/>
    <col min="28" max="28" width="8" style="97" hidden="1" customWidth="1"/>
    <col min="29" max="30" width="9" style="97" customWidth="1"/>
  </cols>
  <sheetData>
    <row r="1" spans="1:30" ht="36" customHeight="1">
      <c r="A1" s="1508" t="s">
        <v>353</v>
      </c>
      <c r="B1" s="1508"/>
      <c r="C1" s="1508"/>
      <c r="D1" s="1508"/>
      <c r="E1" s="1508"/>
      <c r="F1" s="1508"/>
      <c r="G1" s="1508"/>
      <c r="H1" s="1508"/>
      <c r="I1" s="1508"/>
      <c r="J1" s="1508"/>
      <c r="K1" s="1508"/>
      <c r="L1" s="1508"/>
      <c r="M1" s="1508"/>
      <c r="N1" s="1508"/>
      <c r="O1" s="1508"/>
      <c r="P1" s="1508"/>
      <c r="Q1" s="1508"/>
      <c r="R1" s="1508"/>
      <c r="S1" s="1508"/>
      <c r="T1" s="1508"/>
      <c r="U1" s="1508"/>
      <c r="V1" s="1508"/>
      <c r="W1" s="1508"/>
      <c r="X1" s="1508"/>
      <c r="Y1" s="1508"/>
      <c r="Z1" s="238"/>
      <c r="AA1" s="238"/>
      <c r="AB1" s="239"/>
      <c r="AC1" s="239"/>
      <c r="AD1" s="239"/>
    </row>
    <row r="2" spans="1:30">
      <c r="A2" s="1509"/>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238"/>
      <c r="AA2" s="238"/>
      <c r="AB2" s="239"/>
      <c r="AC2" s="239"/>
      <c r="AD2" s="239"/>
    </row>
    <row r="3" spans="1:30">
      <c r="B3" s="239"/>
      <c r="C3" s="241"/>
      <c r="D3" s="242"/>
      <c r="E3" s="243"/>
      <c r="F3" s="244"/>
      <c r="G3" s="239"/>
      <c r="H3" s="239"/>
      <c r="I3" s="239"/>
      <c r="J3" s="239"/>
      <c r="K3" s="239"/>
      <c r="L3" s="239"/>
      <c r="M3" s="245"/>
      <c r="N3" s="245"/>
      <c r="O3" s="245"/>
      <c r="P3" s="245"/>
      <c r="Q3" s="239"/>
      <c r="R3" s="1511"/>
      <c r="S3" s="1511"/>
      <c r="T3" s="1511"/>
      <c r="U3" s="1511"/>
      <c r="V3" s="1511"/>
      <c r="W3" s="1511"/>
      <c r="X3" s="1511"/>
      <c r="Y3" s="1511"/>
      <c r="Z3" s="238"/>
      <c r="AA3" s="238"/>
      <c r="AB3" s="239"/>
      <c r="AC3" s="239"/>
      <c r="AD3" s="239"/>
    </row>
    <row r="4" spans="1:30" s="4" customFormat="1" ht="19.5" customHeight="1">
      <c r="A4" s="1410" t="s">
        <v>130</v>
      </c>
      <c r="B4" s="1410" t="s">
        <v>452</v>
      </c>
      <c r="C4" s="1410" t="s">
        <v>1</v>
      </c>
      <c r="D4" s="1410" t="s">
        <v>453</v>
      </c>
      <c r="E4" s="1410"/>
      <c r="F4" s="1410" t="s">
        <v>454</v>
      </c>
      <c r="G4" s="1410"/>
      <c r="H4" s="1410"/>
      <c r="I4" s="1410"/>
      <c r="J4" s="1410"/>
      <c r="K4" s="1410"/>
      <c r="L4" s="1410"/>
      <c r="M4" s="1410"/>
      <c r="N4" s="1410"/>
      <c r="O4" s="1410"/>
      <c r="P4" s="1410"/>
      <c r="Q4" s="1410" t="s">
        <v>131</v>
      </c>
    </row>
    <row r="5" spans="1:30" s="4" customFormat="1" ht="19.5" customHeight="1">
      <c r="A5" s="1410"/>
      <c r="B5" s="1410"/>
      <c r="C5" s="1410"/>
      <c r="D5" s="1410" t="s">
        <v>147</v>
      </c>
      <c r="E5" s="1410" t="s">
        <v>455</v>
      </c>
      <c r="F5" s="1421" t="s">
        <v>456</v>
      </c>
      <c r="G5" s="1422"/>
      <c r="H5" s="1422"/>
      <c r="I5" s="1422"/>
      <c r="J5" s="1422"/>
      <c r="K5" s="1422"/>
      <c r="L5" s="1422"/>
      <c r="M5" s="1422"/>
      <c r="N5" s="1410" t="s">
        <v>457</v>
      </c>
      <c r="O5" s="1410" t="s">
        <v>125</v>
      </c>
      <c r="P5" s="1410" t="s">
        <v>458</v>
      </c>
      <c r="Q5" s="1410"/>
    </row>
    <row r="6" spans="1:30" s="4" customFormat="1" ht="19.5" customHeight="1">
      <c r="A6" s="1410"/>
      <c r="B6" s="1410"/>
      <c r="C6" s="1410"/>
      <c r="D6" s="1410"/>
      <c r="E6" s="1410"/>
      <c r="F6" s="1410" t="s">
        <v>459</v>
      </c>
      <c r="G6" s="1410" t="s">
        <v>460</v>
      </c>
      <c r="H6" s="1410" t="s">
        <v>461</v>
      </c>
      <c r="I6" s="1424" t="s">
        <v>462</v>
      </c>
      <c r="J6" s="1505"/>
      <c r="K6" s="1505"/>
      <c r="L6" s="1425"/>
      <c r="M6" s="1512" t="s">
        <v>463</v>
      </c>
      <c r="N6" s="1410"/>
      <c r="O6" s="1410"/>
      <c r="P6" s="1410"/>
      <c r="Q6" s="1410"/>
    </row>
    <row r="7" spans="1:30" s="4" customFormat="1" ht="78" customHeight="1">
      <c r="A7" s="1410"/>
      <c r="B7" s="1410"/>
      <c r="C7" s="1410"/>
      <c r="D7" s="1410"/>
      <c r="E7" s="1410"/>
      <c r="F7" s="1410"/>
      <c r="G7" s="1410"/>
      <c r="H7" s="1410"/>
      <c r="I7" s="1" t="s">
        <v>464</v>
      </c>
      <c r="J7" s="1" t="s">
        <v>465</v>
      </c>
      <c r="K7" s="1" t="s">
        <v>466</v>
      </c>
      <c r="L7" s="1" t="s">
        <v>166</v>
      </c>
      <c r="M7" s="1513"/>
      <c r="N7" s="1410"/>
      <c r="O7" s="1410"/>
      <c r="P7" s="1410"/>
      <c r="Q7" s="1410"/>
    </row>
    <row r="8" spans="1:30" s="365" customFormat="1" ht="20.25" customHeight="1">
      <c r="A8" s="360"/>
      <c r="B8" s="361" t="s">
        <v>272</v>
      </c>
      <c r="C8" s="360"/>
      <c r="D8" s="360"/>
      <c r="E8" s="362">
        <f t="shared" ref="E8:P8" si="0">E9+E11+E26+E32+E33+E37+E40+E42+E44+E46+E49+E53</f>
        <v>22797.511999999999</v>
      </c>
      <c r="F8" s="362">
        <f t="shared" si="0"/>
        <v>3036.4569999999999</v>
      </c>
      <c r="G8" s="362">
        <f t="shared" si="0"/>
        <v>500</v>
      </c>
      <c r="H8" s="362">
        <f t="shared" si="0"/>
        <v>3102</v>
      </c>
      <c r="I8" s="362">
        <f t="shared" si="0"/>
        <v>266.70875000000001</v>
      </c>
      <c r="J8" s="362">
        <f t="shared" si="0"/>
        <v>1842</v>
      </c>
      <c r="K8" s="362">
        <f t="shared" si="0"/>
        <v>637.08000000000004</v>
      </c>
      <c r="L8" s="362">
        <f t="shared" si="0"/>
        <v>3000</v>
      </c>
      <c r="M8" s="362">
        <f t="shared" si="0"/>
        <v>5687.48</v>
      </c>
      <c r="N8" s="362">
        <f t="shared" si="0"/>
        <v>2037</v>
      </c>
      <c r="O8" s="362">
        <f t="shared" si="0"/>
        <v>375</v>
      </c>
      <c r="P8" s="362">
        <f t="shared" si="0"/>
        <v>2313.7862500000001</v>
      </c>
      <c r="Q8" s="363"/>
      <c r="R8" s="364"/>
    </row>
    <row r="9" spans="1:30" s="73" customFormat="1" ht="20.25" customHeight="1">
      <c r="A9" s="1">
        <v>1</v>
      </c>
      <c r="B9" s="258" t="s">
        <v>28</v>
      </c>
      <c r="C9" s="1"/>
      <c r="D9" s="1"/>
      <c r="E9" s="335">
        <f t="shared" ref="E9:P9" si="1">SUM(E10:E10)</f>
        <v>208.75700000000001</v>
      </c>
      <c r="F9" s="335">
        <f t="shared" si="1"/>
        <v>208.75700000000001</v>
      </c>
      <c r="G9" s="335">
        <f t="shared" si="1"/>
        <v>0</v>
      </c>
      <c r="H9" s="335">
        <f t="shared" si="1"/>
        <v>0</v>
      </c>
      <c r="I9" s="335">
        <f t="shared" si="1"/>
        <v>0</v>
      </c>
      <c r="J9" s="335">
        <f t="shared" si="1"/>
        <v>0</v>
      </c>
      <c r="K9" s="335"/>
      <c r="L9" s="335">
        <f t="shared" si="1"/>
        <v>0</v>
      </c>
      <c r="M9" s="335">
        <f t="shared" si="1"/>
        <v>0</v>
      </c>
      <c r="N9" s="335">
        <f t="shared" si="1"/>
        <v>0</v>
      </c>
      <c r="O9" s="335">
        <f t="shared" si="1"/>
        <v>0</v>
      </c>
      <c r="P9" s="335">
        <f t="shared" si="1"/>
        <v>0</v>
      </c>
      <c r="Q9" s="336"/>
      <c r="R9" s="337">
        <f>E9</f>
        <v>208.75700000000001</v>
      </c>
    </row>
    <row r="10" spans="1:30" s="3" customFormat="1" ht="20.25" customHeight="1">
      <c r="A10" s="2" t="s">
        <v>81</v>
      </c>
      <c r="B10" s="102" t="s">
        <v>402</v>
      </c>
      <c r="C10" s="2" t="s">
        <v>403</v>
      </c>
      <c r="D10" s="2">
        <v>1</v>
      </c>
      <c r="E10" s="564">
        <f>SUM(F10:P10)</f>
        <v>208.75700000000001</v>
      </c>
      <c r="F10" s="338">
        <v>208.75700000000001</v>
      </c>
      <c r="G10" s="338"/>
      <c r="H10" s="338"/>
      <c r="I10" s="338"/>
      <c r="J10" s="338"/>
      <c r="K10" s="338"/>
      <c r="L10" s="338"/>
      <c r="M10" s="338"/>
      <c r="N10" s="338"/>
      <c r="O10" s="338"/>
      <c r="P10" s="338"/>
      <c r="Q10" s="564"/>
      <c r="R10" s="565"/>
    </row>
    <row r="11" spans="1:30" s="342" customFormat="1" ht="15.75" customHeight="1">
      <c r="A11" s="1">
        <v>2</v>
      </c>
      <c r="B11" s="256" t="s">
        <v>29</v>
      </c>
      <c r="C11" s="339" t="s">
        <v>69</v>
      </c>
      <c r="D11" s="340">
        <f>D12+D16+D21+D23+D24</f>
        <v>1.708</v>
      </c>
      <c r="E11" s="335">
        <f>E12+E16+E21+E23+E24</f>
        <v>4077.2</v>
      </c>
      <c r="F11" s="335">
        <f t="shared" ref="F11:P11" si="2">F12+F16+F21+F23+F24</f>
        <v>0</v>
      </c>
      <c r="G11" s="335">
        <f t="shared" si="2"/>
        <v>0</v>
      </c>
      <c r="H11" s="335">
        <f t="shared" si="2"/>
        <v>1432</v>
      </c>
      <c r="I11" s="335">
        <f t="shared" si="2"/>
        <v>0</v>
      </c>
      <c r="J11" s="335">
        <f t="shared" si="2"/>
        <v>1842</v>
      </c>
      <c r="K11" s="335">
        <f t="shared" si="2"/>
        <v>132.08000000000001</v>
      </c>
      <c r="L11" s="335">
        <f t="shared" si="2"/>
        <v>0</v>
      </c>
      <c r="M11" s="335">
        <f t="shared" si="2"/>
        <v>0</v>
      </c>
      <c r="N11" s="335">
        <f t="shared" si="2"/>
        <v>473</v>
      </c>
      <c r="O11" s="335">
        <f t="shared" si="2"/>
        <v>0</v>
      </c>
      <c r="P11" s="335">
        <f t="shared" si="2"/>
        <v>198.11999999999998</v>
      </c>
      <c r="Q11" s="336"/>
      <c r="R11" s="341">
        <f>E11+E26+E33+E37+E40+E42+E44</f>
        <v>17401.275000000001</v>
      </c>
    </row>
    <row r="12" spans="1:30" s="4" customFormat="1" ht="15.75" customHeight="1">
      <c r="A12" s="2" t="s">
        <v>6</v>
      </c>
      <c r="B12" s="102" t="s">
        <v>404</v>
      </c>
      <c r="C12" s="343"/>
      <c r="D12" s="344"/>
      <c r="E12" s="338">
        <f>SUM(E13:E15)</f>
        <v>115</v>
      </c>
      <c r="F12" s="338">
        <f t="shared" ref="F12:P12" si="3">SUM(F13:F15)</f>
        <v>0</v>
      </c>
      <c r="G12" s="338">
        <f t="shared" si="3"/>
        <v>0</v>
      </c>
      <c r="H12" s="338">
        <f t="shared" si="3"/>
        <v>0</v>
      </c>
      <c r="I12" s="338">
        <f t="shared" si="3"/>
        <v>0</v>
      </c>
      <c r="J12" s="338">
        <f t="shared" si="3"/>
        <v>0</v>
      </c>
      <c r="K12" s="338"/>
      <c r="L12" s="338">
        <f t="shared" si="3"/>
        <v>0</v>
      </c>
      <c r="M12" s="338">
        <f t="shared" si="3"/>
        <v>0</v>
      </c>
      <c r="N12" s="338">
        <f t="shared" si="3"/>
        <v>115</v>
      </c>
      <c r="O12" s="338">
        <f t="shared" si="3"/>
        <v>0</v>
      </c>
      <c r="P12" s="338">
        <f t="shared" si="3"/>
        <v>0</v>
      </c>
      <c r="Q12" s="2"/>
    </row>
    <row r="13" spans="1:30" s="4" customFormat="1" ht="15.75">
      <c r="A13" s="2" t="s">
        <v>81</v>
      </c>
      <c r="B13" s="102" t="s">
        <v>405</v>
      </c>
      <c r="C13" s="343" t="s">
        <v>406</v>
      </c>
      <c r="D13" s="344">
        <v>6</v>
      </c>
      <c r="E13" s="338">
        <f>SUM(F13:P13)</f>
        <v>15</v>
      </c>
      <c r="F13" s="338"/>
      <c r="G13" s="338"/>
      <c r="H13" s="338"/>
      <c r="I13" s="338"/>
      <c r="J13" s="338"/>
      <c r="K13" s="338"/>
      <c r="L13" s="338"/>
      <c r="M13" s="338"/>
      <c r="N13" s="338">
        <v>15</v>
      </c>
      <c r="O13" s="338"/>
      <c r="P13" s="338"/>
      <c r="Q13" s="2"/>
    </row>
    <row r="14" spans="1:30" s="4" customFormat="1" ht="15.75">
      <c r="A14" s="2" t="s">
        <v>81</v>
      </c>
      <c r="B14" s="102" t="s">
        <v>407</v>
      </c>
      <c r="C14" s="343" t="s">
        <v>69</v>
      </c>
      <c r="D14" s="344">
        <v>1.8</v>
      </c>
      <c r="E14" s="338">
        <f>SUM(F14:P14)</f>
        <v>80</v>
      </c>
      <c r="F14" s="338"/>
      <c r="G14" s="338"/>
      <c r="H14" s="338"/>
      <c r="I14" s="338"/>
      <c r="J14" s="338"/>
      <c r="K14" s="338"/>
      <c r="L14" s="338"/>
      <c r="M14" s="338"/>
      <c r="N14" s="338">
        <v>80</v>
      </c>
      <c r="O14" s="338"/>
      <c r="P14" s="338"/>
      <c r="Q14" s="2"/>
    </row>
    <row r="15" spans="1:30" s="4" customFormat="1" ht="15.75">
      <c r="A15" s="2" t="s">
        <v>81</v>
      </c>
      <c r="B15" s="102" t="s">
        <v>408</v>
      </c>
      <c r="C15" s="343" t="s">
        <v>69</v>
      </c>
      <c r="D15" s="344">
        <v>1.8</v>
      </c>
      <c r="E15" s="338">
        <f>SUM(F15:P15)</f>
        <v>20</v>
      </c>
      <c r="F15" s="338"/>
      <c r="G15" s="338"/>
      <c r="H15" s="338"/>
      <c r="I15" s="338"/>
      <c r="J15" s="338"/>
      <c r="K15" s="338"/>
      <c r="L15" s="338"/>
      <c r="M15" s="338"/>
      <c r="N15" s="338">
        <v>20</v>
      </c>
      <c r="O15" s="338"/>
      <c r="P15" s="338"/>
      <c r="Q15" s="2"/>
    </row>
    <row r="16" spans="1:30" s="570" customFormat="1" ht="15.75" customHeight="1">
      <c r="A16" s="484" t="s">
        <v>7</v>
      </c>
      <c r="B16" s="566" t="s">
        <v>160</v>
      </c>
      <c r="C16" s="567"/>
      <c r="D16" s="572">
        <f>SUM(D17:D17)</f>
        <v>1.2</v>
      </c>
      <c r="E16" s="569">
        <f>SUM(E17:E20)</f>
        <v>1790</v>
      </c>
      <c r="F16" s="569">
        <f t="shared" ref="F16:P16" si="4">SUM(F17:F20)</f>
        <v>0</v>
      </c>
      <c r="G16" s="569">
        <f t="shared" si="4"/>
        <v>0</v>
      </c>
      <c r="H16" s="569">
        <f t="shared" si="4"/>
        <v>1432</v>
      </c>
      <c r="I16" s="569">
        <f t="shared" si="4"/>
        <v>0</v>
      </c>
      <c r="J16" s="569">
        <f t="shared" si="4"/>
        <v>0</v>
      </c>
      <c r="K16" s="569"/>
      <c r="L16" s="569">
        <f t="shared" si="4"/>
        <v>0</v>
      </c>
      <c r="M16" s="569">
        <f t="shared" si="4"/>
        <v>0</v>
      </c>
      <c r="N16" s="569">
        <f t="shared" si="4"/>
        <v>358</v>
      </c>
      <c r="O16" s="569">
        <f t="shared" si="4"/>
        <v>0</v>
      </c>
      <c r="P16" s="569">
        <f t="shared" si="4"/>
        <v>0</v>
      </c>
      <c r="Q16" s="484"/>
    </row>
    <row r="17" spans="1:18" s="570" customFormat="1" ht="27.75" customHeight="1">
      <c r="A17" s="484" t="s">
        <v>81</v>
      </c>
      <c r="B17" s="566" t="s">
        <v>409</v>
      </c>
      <c r="C17" s="567" t="s">
        <v>69</v>
      </c>
      <c r="D17" s="568">
        <v>1.2</v>
      </c>
      <c r="E17" s="569">
        <f>SUM(F17:P17)</f>
        <v>1432</v>
      </c>
      <c r="F17" s="569"/>
      <c r="G17" s="569"/>
      <c r="H17" s="569">
        <v>1432</v>
      </c>
      <c r="I17" s="569"/>
      <c r="J17" s="569"/>
      <c r="K17" s="569"/>
      <c r="L17" s="569"/>
      <c r="M17" s="569"/>
      <c r="N17" s="569"/>
      <c r="O17" s="569"/>
      <c r="P17" s="569"/>
      <c r="Q17" s="484"/>
    </row>
    <row r="18" spans="1:18" s="4" customFormat="1" ht="15.75">
      <c r="A18" s="2" t="s">
        <v>81</v>
      </c>
      <c r="B18" s="102" t="s">
        <v>405</v>
      </c>
      <c r="C18" s="343" t="s">
        <v>406</v>
      </c>
      <c r="D18" s="345">
        <v>8</v>
      </c>
      <c r="E18" s="338">
        <f>SUM(F18:P18)</f>
        <v>28</v>
      </c>
      <c r="F18" s="338"/>
      <c r="G18" s="338"/>
      <c r="H18" s="338"/>
      <c r="I18" s="338"/>
      <c r="J18" s="338"/>
      <c r="K18" s="338"/>
      <c r="L18" s="338"/>
      <c r="M18" s="338"/>
      <c r="N18" s="338">
        <v>28</v>
      </c>
      <c r="O18" s="338"/>
      <c r="P18" s="338"/>
      <c r="Q18" s="2"/>
    </row>
    <row r="19" spans="1:18" s="4" customFormat="1" ht="15.75">
      <c r="A19" s="2" t="s">
        <v>81</v>
      </c>
      <c r="B19" s="102" t="s">
        <v>407</v>
      </c>
      <c r="C19" s="343" t="s">
        <v>69</v>
      </c>
      <c r="D19" s="345">
        <v>3</v>
      </c>
      <c r="E19" s="338">
        <f>SUM(F19:P19)</f>
        <v>300</v>
      </c>
      <c r="F19" s="338"/>
      <c r="G19" s="338"/>
      <c r="H19" s="338"/>
      <c r="I19" s="338"/>
      <c r="J19" s="338"/>
      <c r="K19" s="338"/>
      <c r="L19" s="338"/>
      <c r="M19" s="338"/>
      <c r="N19" s="338">
        <v>300</v>
      </c>
      <c r="O19" s="338"/>
      <c r="P19" s="338"/>
      <c r="Q19" s="2"/>
    </row>
    <row r="20" spans="1:18" s="4" customFormat="1" ht="15.75">
      <c r="A20" s="2" t="s">
        <v>81</v>
      </c>
      <c r="B20" s="102" t="s">
        <v>410</v>
      </c>
      <c r="C20" s="343" t="s">
        <v>69</v>
      </c>
      <c r="D20" s="345">
        <v>3</v>
      </c>
      <c r="E20" s="338">
        <f>SUM(F20:P20)</f>
        <v>30</v>
      </c>
      <c r="F20" s="338"/>
      <c r="G20" s="338"/>
      <c r="H20" s="338"/>
      <c r="I20" s="338"/>
      <c r="J20" s="338"/>
      <c r="K20" s="338"/>
      <c r="L20" s="338"/>
      <c r="M20" s="338"/>
      <c r="N20" s="338">
        <v>30</v>
      </c>
      <c r="O20" s="338"/>
      <c r="P20" s="338"/>
      <c r="Q20" s="2"/>
    </row>
    <row r="21" spans="1:18" s="4" customFormat="1" ht="15.75">
      <c r="A21" s="2" t="s">
        <v>411</v>
      </c>
      <c r="B21" s="102" t="s">
        <v>412</v>
      </c>
      <c r="C21" s="343"/>
      <c r="D21" s="346">
        <v>0.50800000000000001</v>
      </c>
      <c r="E21" s="338">
        <f>SUM(E22)</f>
        <v>330.2</v>
      </c>
      <c r="F21" s="338">
        <f t="shared" ref="F21:P21" si="5">SUM(F22)</f>
        <v>0</v>
      </c>
      <c r="G21" s="338">
        <f t="shared" si="5"/>
        <v>0</v>
      </c>
      <c r="H21" s="338">
        <f t="shared" si="5"/>
        <v>0</v>
      </c>
      <c r="I21" s="338">
        <f t="shared" si="5"/>
        <v>0</v>
      </c>
      <c r="J21" s="338">
        <f t="shared" si="5"/>
        <v>0</v>
      </c>
      <c r="K21" s="338">
        <f t="shared" si="5"/>
        <v>132.08000000000001</v>
      </c>
      <c r="L21" s="338">
        <f t="shared" si="5"/>
        <v>0</v>
      </c>
      <c r="M21" s="338">
        <f t="shared" si="5"/>
        <v>0</v>
      </c>
      <c r="N21" s="338">
        <f t="shared" si="5"/>
        <v>0</v>
      </c>
      <c r="O21" s="338">
        <f t="shared" si="5"/>
        <v>0</v>
      </c>
      <c r="P21" s="338">
        <f t="shared" si="5"/>
        <v>198.11999999999998</v>
      </c>
      <c r="Q21" s="2"/>
    </row>
    <row r="22" spans="1:18" s="4" customFormat="1" ht="28.5" customHeight="1">
      <c r="A22" s="2" t="s">
        <v>81</v>
      </c>
      <c r="B22" s="102" t="s">
        <v>413</v>
      </c>
      <c r="C22" s="343" t="s">
        <v>69</v>
      </c>
      <c r="D22" s="346">
        <v>0.50800000000000001</v>
      </c>
      <c r="E22" s="338">
        <f>D22*650</f>
        <v>330.2</v>
      </c>
      <c r="F22" s="338"/>
      <c r="G22" s="338"/>
      <c r="H22" s="338"/>
      <c r="I22" s="338"/>
      <c r="J22" s="338"/>
      <c r="K22" s="338">
        <f>E22*0.4</f>
        <v>132.08000000000001</v>
      </c>
      <c r="L22" s="338"/>
      <c r="M22" s="338"/>
      <c r="N22" s="338"/>
      <c r="O22" s="338"/>
      <c r="P22" s="338">
        <f>E22*0.6</f>
        <v>198.11999999999998</v>
      </c>
      <c r="Q22" s="2"/>
    </row>
    <row r="23" spans="1:18" s="4" customFormat="1" ht="15.75" customHeight="1">
      <c r="A23" s="2" t="s">
        <v>414</v>
      </c>
      <c r="B23" s="102" t="s">
        <v>415</v>
      </c>
      <c r="C23" s="343"/>
      <c r="D23" s="344"/>
      <c r="E23" s="338"/>
      <c r="F23" s="338"/>
      <c r="G23" s="338"/>
      <c r="H23" s="338"/>
      <c r="I23" s="338"/>
      <c r="J23" s="338"/>
      <c r="K23" s="338"/>
      <c r="L23" s="338"/>
      <c r="M23" s="338"/>
      <c r="N23" s="338"/>
      <c r="O23" s="338"/>
      <c r="P23" s="338"/>
      <c r="Q23" s="2"/>
    </row>
    <row r="24" spans="1:18" s="4" customFormat="1" ht="15.75">
      <c r="A24" s="2" t="s">
        <v>416</v>
      </c>
      <c r="B24" s="102" t="s">
        <v>417</v>
      </c>
      <c r="C24" s="343"/>
      <c r="D24" s="345"/>
      <c r="E24" s="338">
        <f t="shared" ref="E24:J24" si="6">SUM(E25:E25)</f>
        <v>1842</v>
      </c>
      <c r="F24" s="338">
        <f t="shared" si="6"/>
        <v>0</v>
      </c>
      <c r="G24" s="338">
        <f t="shared" si="6"/>
        <v>0</v>
      </c>
      <c r="H24" s="338">
        <f t="shared" si="6"/>
        <v>0</v>
      </c>
      <c r="I24" s="338">
        <f t="shared" si="6"/>
        <v>0</v>
      </c>
      <c r="J24" s="338">
        <f t="shared" si="6"/>
        <v>1842</v>
      </c>
      <c r="K24" s="338"/>
      <c r="L24" s="338"/>
      <c r="M24" s="338">
        <f>SUM(M25:M25)</f>
        <v>0</v>
      </c>
      <c r="N24" s="338">
        <f>SUM(N25:N25)</f>
        <v>0</v>
      </c>
      <c r="O24" s="338">
        <f>SUM(O25:O25)</f>
        <v>0</v>
      </c>
      <c r="P24" s="338">
        <f>SUM(P25:P25)</f>
        <v>0</v>
      </c>
      <c r="Q24" s="2"/>
    </row>
    <row r="25" spans="1:18" s="4" customFormat="1" ht="28.5" customHeight="1">
      <c r="A25" s="2" t="s">
        <v>81</v>
      </c>
      <c r="B25" s="102" t="s">
        <v>418</v>
      </c>
      <c r="C25" s="343" t="s">
        <v>71</v>
      </c>
      <c r="D25" s="345">
        <v>1</v>
      </c>
      <c r="E25" s="338">
        <f>SUM(F25:P25)</f>
        <v>1842</v>
      </c>
      <c r="F25" s="338"/>
      <c r="G25" s="338"/>
      <c r="H25" s="338"/>
      <c r="I25" s="338"/>
      <c r="J25" s="338">
        <f>D25*1842</f>
        <v>1842</v>
      </c>
      <c r="K25" s="338"/>
      <c r="L25" s="338"/>
      <c r="M25" s="338"/>
      <c r="N25" s="338"/>
      <c r="O25" s="338"/>
      <c r="P25" s="338"/>
      <c r="Q25" s="2"/>
    </row>
    <row r="26" spans="1:18" s="342" customFormat="1" ht="15.75">
      <c r="A26" s="1">
        <v>3</v>
      </c>
      <c r="B26" s="256" t="s">
        <v>30</v>
      </c>
      <c r="C26" s="339"/>
      <c r="D26" s="347"/>
      <c r="E26" s="335">
        <f>E27+E28+E30</f>
        <v>1887.675</v>
      </c>
      <c r="F26" s="335">
        <f t="shared" ref="F26:P26" si="7">F27+F28+F30</f>
        <v>1541.3</v>
      </c>
      <c r="G26" s="335">
        <f t="shared" si="7"/>
        <v>0</v>
      </c>
      <c r="H26" s="335">
        <f t="shared" si="7"/>
        <v>0</v>
      </c>
      <c r="I26" s="335">
        <f t="shared" si="7"/>
        <v>266.70875000000001</v>
      </c>
      <c r="J26" s="335">
        <f t="shared" si="7"/>
        <v>0</v>
      </c>
      <c r="K26" s="335">
        <f t="shared" si="7"/>
        <v>0</v>
      </c>
      <c r="L26" s="335">
        <f t="shared" si="7"/>
        <v>0</v>
      </c>
      <c r="M26" s="335">
        <f t="shared" si="7"/>
        <v>0</v>
      </c>
      <c r="N26" s="335">
        <f t="shared" si="7"/>
        <v>0</v>
      </c>
      <c r="O26" s="335">
        <f t="shared" si="7"/>
        <v>0</v>
      </c>
      <c r="P26" s="335">
        <f t="shared" si="7"/>
        <v>79.666250000000005</v>
      </c>
      <c r="Q26" s="1"/>
    </row>
    <row r="27" spans="1:18" s="342" customFormat="1" ht="15.75" customHeight="1">
      <c r="A27" s="2" t="s">
        <v>189</v>
      </c>
      <c r="B27" s="102" t="s">
        <v>419</v>
      </c>
      <c r="C27" s="2" t="s">
        <v>71</v>
      </c>
      <c r="D27" s="345"/>
      <c r="E27" s="338"/>
      <c r="F27" s="338"/>
      <c r="G27" s="338"/>
      <c r="H27" s="338"/>
      <c r="I27" s="338"/>
      <c r="J27" s="338"/>
      <c r="K27" s="338"/>
      <c r="L27" s="338"/>
      <c r="M27" s="338"/>
      <c r="N27" s="338"/>
      <c r="O27" s="338"/>
      <c r="P27" s="338"/>
      <c r="Q27" s="1"/>
    </row>
    <row r="28" spans="1:18" s="4" customFormat="1" ht="15.75" customHeight="1">
      <c r="A28" s="2" t="s">
        <v>190</v>
      </c>
      <c r="B28" s="102" t="s">
        <v>107</v>
      </c>
      <c r="C28" s="2"/>
      <c r="D28" s="571">
        <f t="shared" ref="D28:J28" si="8">SUM(D29:D29)</f>
        <v>0.42499999999999999</v>
      </c>
      <c r="E28" s="338">
        <f t="shared" si="8"/>
        <v>346.375</v>
      </c>
      <c r="F28" s="338">
        <f t="shared" si="8"/>
        <v>0</v>
      </c>
      <c r="G28" s="338">
        <f t="shared" si="8"/>
        <v>0</v>
      </c>
      <c r="H28" s="338">
        <f t="shared" si="8"/>
        <v>0</v>
      </c>
      <c r="I28" s="338">
        <f t="shared" si="8"/>
        <v>266.70875000000001</v>
      </c>
      <c r="J28" s="338">
        <f t="shared" si="8"/>
        <v>0</v>
      </c>
      <c r="K28" s="338"/>
      <c r="L28" s="338"/>
      <c r="M28" s="338">
        <f>SUM(M29:M29)</f>
        <v>0</v>
      </c>
      <c r="N28" s="338">
        <f>SUM(N29:N29)</f>
        <v>0</v>
      </c>
      <c r="O28" s="338">
        <f>SUM(O29:O29)</f>
        <v>0</v>
      </c>
      <c r="P28" s="338">
        <f>SUM(P29:P29)</f>
        <v>79.666250000000005</v>
      </c>
      <c r="Q28" s="2"/>
    </row>
    <row r="29" spans="1:18" s="4" customFormat="1" ht="28.5" customHeight="1">
      <c r="A29" s="2" t="s">
        <v>81</v>
      </c>
      <c r="B29" s="102" t="s">
        <v>420</v>
      </c>
      <c r="C29" s="343" t="s">
        <v>69</v>
      </c>
      <c r="D29" s="571">
        <v>0.42499999999999999</v>
      </c>
      <c r="E29" s="338">
        <f>D29*815</f>
        <v>346.375</v>
      </c>
      <c r="F29" s="338"/>
      <c r="G29" s="338"/>
      <c r="H29" s="338"/>
      <c r="I29" s="338">
        <f>E29*77%</f>
        <v>266.70875000000001</v>
      </c>
      <c r="J29" s="338"/>
      <c r="K29" s="338"/>
      <c r="L29" s="338"/>
      <c r="M29" s="338"/>
      <c r="N29" s="338"/>
      <c r="O29" s="338"/>
      <c r="P29" s="338">
        <f>E29*23%</f>
        <v>79.666250000000005</v>
      </c>
      <c r="Q29" s="344"/>
      <c r="R29" s="348"/>
    </row>
    <row r="30" spans="1:18" s="4" customFormat="1" ht="15.75">
      <c r="A30" s="2" t="s">
        <v>421</v>
      </c>
      <c r="B30" s="102" t="s">
        <v>422</v>
      </c>
      <c r="C30" s="343"/>
      <c r="D30" s="571"/>
      <c r="E30" s="338">
        <f>SUM(E31)</f>
        <v>1541.3</v>
      </c>
      <c r="F30" s="338">
        <f t="shared" ref="F30:P30" si="9">SUM(F31)</f>
        <v>1541.3</v>
      </c>
      <c r="G30" s="338">
        <f t="shared" si="9"/>
        <v>0</v>
      </c>
      <c r="H30" s="338">
        <f t="shared" si="9"/>
        <v>0</v>
      </c>
      <c r="I30" s="338">
        <f t="shared" si="9"/>
        <v>0</v>
      </c>
      <c r="J30" s="338">
        <f t="shared" si="9"/>
        <v>0</v>
      </c>
      <c r="K30" s="338">
        <f t="shared" si="9"/>
        <v>0</v>
      </c>
      <c r="L30" s="338">
        <f t="shared" si="9"/>
        <v>0</v>
      </c>
      <c r="M30" s="338">
        <f t="shared" si="9"/>
        <v>0</v>
      </c>
      <c r="N30" s="338">
        <f t="shared" si="9"/>
        <v>0</v>
      </c>
      <c r="O30" s="338">
        <f t="shared" si="9"/>
        <v>0</v>
      </c>
      <c r="P30" s="338">
        <f t="shared" si="9"/>
        <v>0</v>
      </c>
      <c r="Q30" s="344"/>
      <c r="R30" s="348"/>
    </row>
    <row r="31" spans="1:18" s="4" customFormat="1" ht="28.5" customHeight="1">
      <c r="A31" s="2" t="s">
        <v>81</v>
      </c>
      <c r="B31" s="573" t="s">
        <v>423</v>
      </c>
      <c r="C31" s="343" t="s">
        <v>71</v>
      </c>
      <c r="D31" s="345">
        <v>1</v>
      </c>
      <c r="E31" s="338">
        <f>SUM(F31:P31)</f>
        <v>1541.3</v>
      </c>
      <c r="F31" s="338">
        <v>1541.3</v>
      </c>
      <c r="G31" s="338"/>
      <c r="H31" s="338"/>
      <c r="I31" s="338"/>
      <c r="J31" s="338"/>
      <c r="K31" s="338"/>
      <c r="L31" s="338"/>
      <c r="M31" s="338"/>
      <c r="N31" s="338"/>
      <c r="O31" s="338"/>
      <c r="P31" s="338"/>
      <c r="Q31" s="344"/>
      <c r="R31" s="348"/>
    </row>
    <row r="32" spans="1:18" s="342" customFormat="1" ht="22.5" customHeight="1">
      <c r="A32" s="1">
        <v>4</v>
      </c>
      <c r="B32" s="256" t="s">
        <v>34</v>
      </c>
      <c r="C32" s="339"/>
      <c r="D32" s="347"/>
      <c r="E32" s="335"/>
      <c r="F32" s="335"/>
      <c r="G32" s="335"/>
      <c r="H32" s="335"/>
      <c r="I32" s="335"/>
      <c r="J32" s="335"/>
      <c r="K32" s="335"/>
      <c r="L32" s="335"/>
      <c r="M32" s="335"/>
      <c r="N32" s="335"/>
      <c r="O32" s="335"/>
      <c r="P32" s="335"/>
      <c r="Q32" s="340"/>
      <c r="R32" s="349"/>
    </row>
    <row r="33" spans="1:18" s="342" customFormat="1" ht="20.25" customHeight="1">
      <c r="A33" s="1">
        <v>5</v>
      </c>
      <c r="B33" s="256" t="s">
        <v>424</v>
      </c>
      <c r="C33" s="339"/>
      <c r="D33" s="335"/>
      <c r="E33" s="335">
        <f t="shared" ref="E33:J33" si="10">SUM(E34:E36)</f>
        <v>5650</v>
      </c>
      <c r="F33" s="335">
        <f t="shared" si="10"/>
        <v>0</v>
      </c>
      <c r="G33" s="335">
        <f t="shared" si="10"/>
        <v>0</v>
      </c>
      <c r="H33" s="335">
        <f t="shared" si="10"/>
        <v>0</v>
      </c>
      <c r="I33" s="335">
        <f t="shared" si="10"/>
        <v>0</v>
      </c>
      <c r="J33" s="335">
        <f t="shared" si="10"/>
        <v>0</v>
      </c>
      <c r="K33" s="335"/>
      <c r="L33" s="335">
        <f>SUM(L34:L36)</f>
        <v>0</v>
      </c>
      <c r="M33" s="335">
        <f>SUM(M34:M36)</f>
        <v>5150</v>
      </c>
      <c r="N33" s="335">
        <f>SUM(N34:N36)</f>
        <v>500</v>
      </c>
      <c r="O33" s="335">
        <f>SUM(O34:O36)</f>
        <v>0</v>
      </c>
      <c r="P33" s="335">
        <f>SUM(P34:P36)</f>
        <v>0</v>
      </c>
      <c r="Q33" s="340"/>
      <c r="R33" s="349"/>
    </row>
    <row r="34" spans="1:18" s="371" customFormat="1" ht="27.75" customHeight="1">
      <c r="A34" s="355" t="s">
        <v>81</v>
      </c>
      <c r="B34" s="356" t="s">
        <v>425</v>
      </c>
      <c r="C34" s="370" t="s">
        <v>71</v>
      </c>
      <c r="D34" s="357">
        <v>1</v>
      </c>
      <c r="E34" s="357">
        <f>SUM(F34:P34)</f>
        <v>5000</v>
      </c>
      <c r="F34" s="357"/>
      <c r="G34" s="357"/>
      <c r="H34" s="357"/>
      <c r="I34" s="357"/>
      <c r="J34" s="357"/>
      <c r="K34" s="357"/>
      <c r="L34" s="357"/>
      <c r="M34" s="357">
        <v>5000</v>
      </c>
      <c r="N34" s="357"/>
      <c r="O34" s="357"/>
      <c r="P34" s="357"/>
      <c r="Q34" s="561"/>
      <c r="R34" s="373"/>
    </row>
    <row r="35" spans="1:18" s="371" customFormat="1" ht="27.75" customHeight="1">
      <c r="A35" s="355" t="s">
        <v>81</v>
      </c>
      <c r="B35" s="356" t="s">
        <v>426</v>
      </c>
      <c r="C35" s="370" t="s">
        <v>71</v>
      </c>
      <c r="D35" s="357">
        <v>1</v>
      </c>
      <c r="E35" s="357">
        <f>SUM(F35:P35)</f>
        <v>500</v>
      </c>
      <c r="F35" s="357"/>
      <c r="G35" s="357"/>
      <c r="H35" s="357"/>
      <c r="I35" s="357"/>
      <c r="J35" s="357"/>
      <c r="K35" s="357"/>
      <c r="L35" s="562"/>
      <c r="M35" s="357"/>
      <c r="N35" s="357">
        <v>500</v>
      </c>
      <c r="O35" s="357"/>
      <c r="P35" s="357"/>
      <c r="Q35" s="561"/>
      <c r="R35" s="373"/>
    </row>
    <row r="36" spans="1:18" s="4" customFormat="1" ht="32.25" customHeight="1">
      <c r="A36" s="2" t="s">
        <v>81</v>
      </c>
      <c r="B36" s="352" t="s">
        <v>427</v>
      </c>
      <c r="C36" s="343" t="s">
        <v>428</v>
      </c>
      <c r="D36" s="338">
        <v>10</v>
      </c>
      <c r="E36" s="338">
        <f>SUM(F36:P36)</f>
        <v>150</v>
      </c>
      <c r="F36" s="338"/>
      <c r="G36" s="338"/>
      <c r="H36" s="338"/>
      <c r="I36" s="338"/>
      <c r="J36" s="338"/>
      <c r="K36" s="338"/>
      <c r="L36" s="351"/>
      <c r="M36" s="338">
        <f>D36*15</f>
        <v>150</v>
      </c>
      <c r="N36" s="338"/>
      <c r="O36" s="338"/>
      <c r="P36" s="338"/>
      <c r="Q36" s="350"/>
      <c r="R36" s="348"/>
    </row>
    <row r="37" spans="1:18" s="342" customFormat="1" ht="17.25" customHeight="1">
      <c r="A37" s="1">
        <v>6</v>
      </c>
      <c r="B37" s="256" t="s">
        <v>429</v>
      </c>
      <c r="C37" s="1"/>
      <c r="D37" s="335"/>
      <c r="E37" s="335">
        <f>SUM(E38:E39)</f>
        <v>1150</v>
      </c>
      <c r="F37" s="335">
        <f t="shared" ref="F37:P37" si="11">SUM(F38:F39)</f>
        <v>650</v>
      </c>
      <c r="G37" s="335">
        <f t="shared" si="11"/>
        <v>0</v>
      </c>
      <c r="H37" s="335">
        <f t="shared" si="11"/>
        <v>300</v>
      </c>
      <c r="I37" s="335">
        <f t="shared" si="11"/>
        <v>0</v>
      </c>
      <c r="J37" s="335">
        <f t="shared" si="11"/>
        <v>0</v>
      </c>
      <c r="K37" s="335"/>
      <c r="L37" s="335">
        <f t="shared" si="11"/>
        <v>0</v>
      </c>
      <c r="M37" s="335">
        <f t="shared" si="11"/>
        <v>0</v>
      </c>
      <c r="N37" s="335">
        <f t="shared" si="11"/>
        <v>0</v>
      </c>
      <c r="O37" s="335">
        <f t="shared" si="11"/>
        <v>0</v>
      </c>
      <c r="P37" s="335">
        <f t="shared" si="11"/>
        <v>200</v>
      </c>
      <c r="Q37" s="1"/>
    </row>
    <row r="38" spans="1:18" s="4" customFormat="1" ht="28.5" customHeight="1">
      <c r="A38" s="2" t="s">
        <v>81</v>
      </c>
      <c r="B38" s="102" t="s">
        <v>430</v>
      </c>
      <c r="C38" s="2" t="s">
        <v>71</v>
      </c>
      <c r="D38" s="338">
        <v>1</v>
      </c>
      <c r="E38" s="338">
        <f>SUM(F38:P38)</f>
        <v>500</v>
      </c>
      <c r="F38" s="338"/>
      <c r="G38" s="338"/>
      <c r="H38" s="338">
        <v>300</v>
      </c>
      <c r="I38" s="338"/>
      <c r="J38" s="338"/>
      <c r="K38" s="338"/>
      <c r="L38" s="338"/>
      <c r="M38" s="338"/>
      <c r="N38" s="338"/>
      <c r="O38" s="338"/>
      <c r="P38" s="338">
        <v>200</v>
      </c>
      <c r="Q38" s="344"/>
    </row>
    <row r="39" spans="1:18" s="4" customFormat="1" ht="31.5" customHeight="1">
      <c r="A39" s="2" t="s">
        <v>81</v>
      </c>
      <c r="B39" s="102" t="s">
        <v>431</v>
      </c>
      <c r="C39" s="2" t="s">
        <v>432</v>
      </c>
      <c r="D39" s="338">
        <v>13</v>
      </c>
      <c r="E39" s="338">
        <f>SUM(F39:P39)</f>
        <v>650</v>
      </c>
      <c r="F39" s="338">
        <f>D39*50</f>
        <v>650</v>
      </c>
      <c r="G39" s="338"/>
      <c r="H39" s="338"/>
      <c r="I39" s="338"/>
      <c r="J39" s="338"/>
      <c r="K39" s="338"/>
      <c r="L39" s="338"/>
      <c r="M39" s="338"/>
      <c r="N39" s="338"/>
      <c r="O39" s="338"/>
      <c r="P39" s="338"/>
      <c r="Q39" s="344"/>
    </row>
    <row r="40" spans="1:18" s="342" customFormat="1" ht="19.5" customHeight="1">
      <c r="A40" s="1">
        <v>7</v>
      </c>
      <c r="B40" s="256" t="s">
        <v>433</v>
      </c>
      <c r="C40" s="1"/>
      <c r="D40" s="335"/>
      <c r="E40" s="335">
        <f>SUM(E41)</f>
        <v>3000</v>
      </c>
      <c r="F40" s="335">
        <f t="shared" ref="F40:P40" si="12">SUM(F41)</f>
        <v>0</v>
      </c>
      <c r="G40" s="335">
        <f t="shared" si="12"/>
        <v>0</v>
      </c>
      <c r="H40" s="335">
        <f t="shared" si="12"/>
        <v>0</v>
      </c>
      <c r="I40" s="335">
        <f t="shared" si="12"/>
        <v>0</v>
      </c>
      <c r="J40" s="335">
        <f t="shared" si="12"/>
        <v>0</v>
      </c>
      <c r="K40" s="335"/>
      <c r="L40" s="335">
        <f t="shared" si="12"/>
        <v>3000</v>
      </c>
      <c r="M40" s="335">
        <f t="shared" si="12"/>
        <v>0</v>
      </c>
      <c r="N40" s="335">
        <f t="shared" si="12"/>
        <v>0</v>
      </c>
      <c r="O40" s="335">
        <f t="shared" si="12"/>
        <v>0</v>
      </c>
      <c r="P40" s="335">
        <f t="shared" si="12"/>
        <v>0</v>
      </c>
      <c r="Q40" s="1506" t="s">
        <v>434</v>
      </c>
    </row>
    <row r="41" spans="1:18" s="371" customFormat="1" ht="48.75" customHeight="1">
      <c r="A41" s="355" t="s">
        <v>81</v>
      </c>
      <c r="B41" s="356" t="s">
        <v>435</v>
      </c>
      <c r="C41" s="355" t="s">
        <v>71</v>
      </c>
      <c r="D41" s="357">
        <v>1</v>
      </c>
      <c r="E41" s="357">
        <f>SUM(F41:P41)</f>
        <v>3000</v>
      </c>
      <c r="F41" s="357"/>
      <c r="G41" s="357"/>
      <c r="H41" s="357"/>
      <c r="I41" s="357"/>
      <c r="J41" s="357"/>
      <c r="K41" s="357"/>
      <c r="L41" s="357">
        <v>3000</v>
      </c>
      <c r="M41" s="357"/>
      <c r="N41" s="357"/>
      <c r="O41" s="357"/>
      <c r="P41" s="357"/>
      <c r="Q41" s="1507"/>
    </row>
    <row r="42" spans="1:18" s="342" customFormat="1" ht="21.75" customHeight="1">
      <c r="A42" s="1">
        <v>8</v>
      </c>
      <c r="B42" s="256" t="s">
        <v>436</v>
      </c>
      <c r="C42" s="1"/>
      <c r="D42" s="335"/>
      <c r="E42" s="335">
        <f>SUM(E43)</f>
        <v>36.4</v>
      </c>
      <c r="F42" s="335">
        <f t="shared" ref="F42:P42" si="13">SUM(F43)</f>
        <v>36.4</v>
      </c>
      <c r="G42" s="335">
        <f t="shared" si="13"/>
        <v>0</v>
      </c>
      <c r="H42" s="335">
        <f t="shared" si="13"/>
        <v>0</v>
      </c>
      <c r="I42" s="335">
        <f t="shared" si="13"/>
        <v>0</v>
      </c>
      <c r="J42" s="335">
        <f t="shared" si="13"/>
        <v>0</v>
      </c>
      <c r="K42" s="335">
        <f t="shared" si="13"/>
        <v>0</v>
      </c>
      <c r="L42" s="335">
        <f t="shared" si="13"/>
        <v>0</v>
      </c>
      <c r="M42" s="335">
        <f t="shared" si="13"/>
        <v>0</v>
      </c>
      <c r="N42" s="335">
        <f t="shared" si="13"/>
        <v>0</v>
      </c>
      <c r="O42" s="335">
        <f t="shared" si="13"/>
        <v>0</v>
      </c>
      <c r="P42" s="335">
        <f t="shared" si="13"/>
        <v>0</v>
      </c>
      <c r="Q42" s="340"/>
    </row>
    <row r="43" spans="1:18" s="371" customFormat="1" ht="30" customHeight="1">
      <c r="A43" s="355" t="s">
        <v>81</v>
      </c>
      <c r="B43" s="356" t="s">
        <v>437</v>
      </c>
      <c r="C43" s="355" t="s">
        <v>432</v>
      </c>
      <c r="D43" s="357">
        <v>13</v>
      </c>
      <c r="E43" s="357">
        <f>SUM(F43:P43)</f>
        <v>36.4</v>
      </c>
      <c r="F43" s="357">
        <f>D43*2.8</f>
        <v>36.4</v>
      </c>
      <c r="G43" s="357"/>
      <c r="H43" s="357"/>
      <c r="I43" s="357"/>
      <c r="J43" s="357"/>
      <c r="K43" s="357"/>
      <c r="L43" s="357"/>
      <c r="M43" s="357"/>
      <c r="N43" s="357"/>
      <c r="O43" s="357"/>
      <c r="P43" s="357"/>
      <c r="Q43" s="372"/>
    </row>
    <row r="44" spans="1:18" s="342" customFormat="1" ht="18" customHeight="1">
      <c r="A44" s="1">
        <v>9</v>
      </c>
      <c r="B44" s="256" t="s">
        <v>39</v>
      </c>
      <c r="C44" s="1"/>
      <c r="D44" s="335"/>
      <c r="E44" s="335">
        <f>SUM(E45)</f>
        <v>1600</v>
      </c>
      <c r="F44" s="335">
        <f t="shared" ref="F44:P44" si="14">SUM(F45)</f>
        <v>0</v>
      </c>
      <c r="G44" s="335">
        <f t="shared" si="14"/>
        <v>0</v>
      </c>
      <c r="H44" s="335">
        <f t="shared" si="14"/>
        <v>800</v>
      </c>
      <c r="I44" s="335">
        <f t="shared" si="14"/>
        <v>0</v>
      </c>
      <c r="J44" s="335">
        <f t="shared" si="14"/>
        <v>0</v>
      </c>
      <c r="K44" s="335"/>
      <c r="L44" s="335">
        <f t="shared" si="14"/>
        <v>0</v>
      </c>
      <c r="M44" s="335">
        <f t="shared" si="14"/>
        <v>0</v>
      </c>
      <c r="N44" s="335">
        <f t="shared" si="14"/>
        <v>0</v>
      </c>
      <c r="O44" s="335">
        <f t="shared" si="14"/>
        <v>0</v>
      </c>
      <c r="P44" s="335">
        <f t="shared" si="14"/>
        <v>800</v>
      </c>
      <c r="Q44" s="340"/>
    </row>
    <row r="45" spans="1:18" s="4" customFormat="1" ht="25.5">
      <c r="A45" s="2" t="s">
        <v>81</v>
      </c>
      <c r="B45" s="102" t="s">
        <v>438</v>
      </c>
      <c r="C45" s="2" t="s">
        <v>76</v>
      </c>
      <c r="D45" s="338">
        <v>20</v>
      </c>
      <c r="E45" s="338">
        <f>SUM(F45:P45)</f>
        <v>1600</v>
      </c>
      <c r="F45" s="338"/>
      <c r="G45" s="338"/>
      <c r="H45" s="338">
        <f>D45*40</f>
        <v>800</v>
      </c>
      <c r="I45" s="338"/>
      <c r="J45" s="338"/>
      <c r="K45" s="338"/>
      <c r="L45" s="338"/>
      <c r="M45" s="338"/>
      <c r="N45" s="338"/>
      <c r="O45" s="338"/>
      <c r="P45" s="338">
        <f>D45*40</f>
        <v>800</v>
      </c>
      <c r="Q45" s="344"/>
    </row>
    <row r="46" spans="1:18" s="342" customFormat="1" ht="19.5" customHeight="1">
      <c r="A46" s="1">
        <v>10</v>
      </c>
      <c r="B46" s="256" t="s">
        <v>439</v>
      </c>
      <c r="C46" s="1"/>
      <c r="D46" s="335"/>
      <c r="E46" s="335">
        <f>SUM(E47:E48)</f>
        <v>1500</v>
      </c>
      <c r="F46" s="335">
        <f t="shared" ref="F46:P46" si="15">SUM(F47:F48)</f>
        <v>500</v>
      </c>
      <c r="G46" s="335">
        <f t="shared" si="15"/>
        <v>500</v>
      </c>
      <c r="H46" s="335">
        <f t="shared" si="15"/>
        <v>500</v>
      </c>
      <c r="I46" s="335">
        <f t="shared" si="15"/>
        <v>0</v>
      </c>
      <c r="J46" s="335">
        <f t="shared" si="15"/>
        <v>0</v>
      </c>
      <c r="K46" s="335"/>
      <c r="L46" s="335">
        <f t="shared" si="15"/>
        <v>0</v>
      </c>
      <c r="M46" s="335">
        <f t="shared" si="15"/>
        <v>0</v>
      </c>
      <c r="N46" s="335">
        <f t="shared" si="15"/>
        <v>0</v>
      </c>
      <c r="O46" s="335">
        <f t="shared" si="15"/>
        <v>0</v>
      </c>
      <c r="P46" s="335">
        <f t="shared" si="15"/>
        <v>0</v>
      </c>
      <c r="Q46" s="340"/>
      <c r="R46" s="341">
        <f>E46</f>
        <v>1500</v>
      </c>
    </row>
    <row r="47" spans="1:18" s="4" customFormat="1" ht="34.5" customHeight="1">
      <c r="A47" s="2" t="s">
        <v>81</v>
      </c>
      <c r="B47" s="102" t="s">
        <v>440</v>
      </c>
      <c r="C47" s="2" t="s">
        <v>441</v>
      </c>
      <c r="D47" s="338"/>
      <c r="E47" s="338">
        <f>SUM(F47:P47)</f>
        <v>1000</v>
      </c>
      <c r="F47" s="338"/>
      <c r="G47" s="338">
        <v>500</v>
      </c>
      <c r="H47" s="338">
        <v>500</v>
      </c>
      <c r="I47" s="338"/>
      <c r="J47" s="338"/>
      <c r="K47" s="338"/>
      <c r="L47" s="338"/>
      <c r="M47" s="338"/>
      <c r="N47" s="338"/>
      <c r="O47" s="338"/>
      <c r="P47" s="338"/>
      <c r="Q47" s="344"/>
    </row>
    <row r="48" spans="1:18" s="4" customFormat="1" ht="28.5" customHeight="1">
      <c r="A48" s="2" t="s">
        <v>81</v>
      </c>
      <c r="B48" s="102" t="s">
        <v>442</v>
      </c>
      <c r="C48" s="2" t="s">
        <v>443</v>
      </c>
      <c r="D48" s="338"/>
      <c r="E48" s="338">
        <f>SUM(F48:P48)</f>
        <v>500</v>
      </c>
      <c r="F48" s="338">
        <v>500</v>
      </c>
      <c r="G48" s="338"/>
      <c r="H48" s="338"/>
      <c r="I48" s="338"/>
      <c r="J48" s="338"/>
      <c r="K48" s="338"/>
      <c r="L48" s="338"/>
      <c r="M48" s="338"/>
      <c r="N48" s="338"/>
      <c r="O48" s="338"/>
      <c r="P48" s="338"/>
      <c r="Q48" s="344"/>
    </row>
    <row r="49" spans="1:18" s="354" customFormat="1" ht="18.75">
      <c r="A49" s="1">
        <v>11</v>
      </c>
      <c r="B49" s="256" t="s">
        <v>44</v>
      </c>
      <c r="C49" s="1"/>
      <c r="D49" s="335"/>
      <c r="E49" s="335">
        <f>SUM(E50:E52)</f>
        <v>516</v>
      </c>
      <c r="F49" s="335">
        <f t="shared" ref="F49:P49" si="16">SUM(F50:F52)</f>
        <v>100</v>
      </c>
      <c r="G49" s="335">
        <f t="shared" si="16"/>
        <v>0</v>
      </c>
      <c r="H49" s="335">
        <f t="shared" si="16"/>
        <v>0</v>
      </c>
      <c r="I49" s="335">
        <f t="shared" si="16"/>
        <v>0</v>
      </c>
      <c r="J49" s="335">
        <f t="shared" si="16"/>
        <v>0</v>
      </c>
      <c r="K49" s="335">
        <f t="shared" si="16"/>
        <v>130</v>
      </c>
      <c r="L49" s="335">
        <f t="shared" si="16"/>
        <v>0</v>
      </c>
      <c r="M49" s="335">
        <f t="shared" si="16"/>
        <v>0</v>
      </c>
      <c r="N49" s="335">
        <f t="shared" si="16"/>
        <v>0</v>
      </c>
      <c r="O49" s="335">
        <f t="shared" si="16"/>
        <v>0</v>
      </c>
      <c r="P49" s="335">
        <f t="shared" si="16"/>
        <v>286</v>
      </c>
      <c r="Q49" s="1"/>
      <c r="R49" s="353">
        <f>E49+E53</f>
        <v>3687.48</v>
      </c>
    </row>
    <row r="50" spans="1:18" s="78" customFormat="1" ht="28.5" customHeight="1">
      <c r="A50" s="2" t="s">
        <v>81</v>
      </c>
      <c r="B50" s="102" t="s">
        <v>444</v>
      </c>
      <c r="C50" s="2" t="s">
        <v>443</v>
      </c>
      <c r="D50" s="338">
        <v>5</v>
      </c>
      <c r="E50" s="338">
        <f>SUM(F50:P50)</f>
        <v>100</v>
      </c>
      <c r="F50" s="338">
        <f>D50*20</f>
        <v>100</v>
      </c>
      <c r="G50" s="338"/>
      <c r="H50" s="338"/>
      <c r="I50" s="338"/>
      <c r="J50" s="338"/>
      <c r="K50" s="338"/>
      <c r="L50" s="338"/>
      <c r="M50" s="338"/>
      <c r="N50" s="338"/>
      <c r="O50" s="338"/>
      <c r="P50" s="338"/>
      <c r="Q50" s="2"/>
    </row>
    <row r="51" spans="1:18" s="358" customFormat="1" ht="25.5">
      <c r="A51" s="355" t="s">
        <v>81</v>
      </c>
      <c r="B51" s="356" t="s">
        <v>445</v>
      </c>
      <c r="C51" s="355" t="s">
        <v>74</v>
      </c>
      <c r="D51" s="357">
        <v>26</v>
      </c>
      <c r="E51" s="357">
        <f>SUM(F51:P51)</f>
        <v>156</v>
      </c>
      <c r="F51" s="563"/>
      <c r="G51" s="357"/>
      <c r="H51" s="357"/>
      <c r="I51" s="357"/>
      <c r="J51" s="357"/>
      <c r="K51" s="357"/>
      <c r="L51" s="357"/>
      <c r="M51" s="357"/>
      <c r="N51" s="357"/>
      <c r="O51" s="357"/>
      <c r="P51" s="357">
        <f>D51*6</f>
        <v>156</v>
      </c>
      <c r="Q51" s="355"/>
    </row>
    <row r="52" spans="1:18" s="358" customFormat="1" ht="18.75">
      <c r="A52" s="355" t="s">
        <v>81</v>
      </c>
      <c r="B52" s="356" t="s">
        <v>446</v>
      </c>
      <c r="C52" s="374" t="s">
        <v>447</v>
      </c>
      <c r="D52" s="357">
        <v>26</v>
      </c>
      <c r="E52" s="357">
        <f>SUM(F52:P52)</f>
        <v>260</v>
      </c>
      <c r="F52" s="563"/>
      <c r="G52" s="357"/>
      <c r="H52" s="357"/>
      <c r="I52" s="357"/>
      <c r="J52" s="357"/>
      <c r="K52" s="357">
        <f>D52*5</f>
        <v>130</v>
      </c>
      <c r="L52" s="357"/>
      <c r="M52" s="357"/>
      <c r="N52" s="357"/>
      <c r="O52" s="357"/>
      <c r="P52" s="357">
        <f>D52*5</f>
        <v>130</v>
      </c>
      <c r="Q52" s="355"/>
    </row>
    <row r="53" spans="1:18" s="354" customFormat="1" ht="18.75">
      <c r="A53" s="1">
        <v>12</v>
      </c>
      <c r="B53" s="256" t="s">
        <v>389</v>
      </c>
      <c r="C53" s="16"/>
      <c r="D53" s="335"/>
      <c r="E53" s="335">
        <f t="shared" ref="E53:P53" si="17">SUM(E54:E57)</f>
        <v>3171.48</v>
      </c>
      <c r="F53" s="335">
        <f t="shared" si="17"/>
        <v>0</v>
      </c>
      <c r="G53" s="335">
        <f t="shared" si="17"/>
        <v>0</v>
      </c>
      <c r="H53" s="335">
        <f t="shared" si="17"/>
        <v>70</v>
      </c>
      <c r="I53" s="335">
        <f t="shared" si="17"/>
        <v>0</v>
      </c>
      <c r="J53" s="335">
        <f t="shared" si="17"/>
        <v>0</v>
      </c>
      <c r="K53" s="335">
        <f t="shared" si="17"/>
        <v>375</v>
      </c>
      <c r="L53" s="335">
        <f t="shared" si="17"/>
        <v>0</v>
      </c>
      <c r="M53" s="335">
        <f t="shared" si="17"/>
        <v>537.48</v>
      </c>
      <c r="N53" s="335">
        <f t="shared" si="17"/>
        <v>1064</v>
      </c>
      <c r="O53" s="335">
        <f t="shared" si="17"/>
        <v>375</v>
      </c>
      <c r="P53" s="335">
        <f t="shared" si="17"/>
        <v>750</v>
      </c>
      <c r="Q53" s="1"/>
    </row>
    <row r="54" spans="1:18" s="358" customFormat="1" ht="18.75">
      <c r="A54" s="355" t="s">
        <v>81</v>
      </c>
      <c r="B54" s="356" t="s">
        <v>448</v>
      </c>
      <c r="C54" s="355" t="s">
        <v>71</v>
      </c>
      <c r="D54" s="357">
        <v>1</v>
      </c>
      <c r="E54" s="357">
        <f>SUM(F54:P54)</f>
        <v>1601.48</v>
      </c>
      <c r="F54" s="563"/>
      <c r="G54" s="357"/>
      <c r="H54" s="357"/>
      <c r="I54" s="357"/>
      <c r="J54" s="357"/>
      <c r="K54" s="357"/>
      <c r="L54" s="357"/>
      <c r="M54" s="357">
        <v>537.48</v>
      </c>
      <c r="N54" s="357">
        <v>1064</v>
      </c>
      <c r="O54" s="357"/>
      <c r="P54" s="357"/>
      <c r="Q54" s="355"/>
    </row>
    <row r="55" spans="1:18" s="358" customFormat="1" ht="18.75">
      <c r="A55" s="355" t="s">
        <v>81</v>
      </c>
      <c r="B55" s="356" t="s">
        <v>449</v>
      </c>
      <c r="C55" s="374" t="s">
        <v>76</v>
      </c>
      <c r="D55" s="357">
        <v>75</v>
      </c>
      <c r="E55" s="357">
        <f>SUM(F55:P55)</f>
        <v>750</v>
      </c>
      <c r="F55" s="563"/>
      <c r="G55" s="357"/>
      <c r="H55" s="357"/>
      <c r="I55" s="357"/>
      <c r="J55" s="357"/>
      <c r="K55" s="357"/>
      <c r="L55" s="357"/>
      <c r="M55" s="357"/>
      <c r="N55" s="357"/>
      <c r="O55" s="357">
        <f>D55*5</f>
        <v>375</v>
      </c>
      <c r="P55" s="357">
        <f>D55*5</f>
        <v>375</v>
      </c>
      <c r="Q55" s="355"/>
    </row>
    <row r="56" spans="1:18" s="358" customFormat="1" ht="16.5" customHeight="1">
      <c r="A56" s="355" t="s">
        <v>81</v>
      </c>
      <c r="B56" s="356" t="s">
        <v>450</v>
      </c>
      <c r="C56" s="374" t="s">
        <v>76</v>
      </c>
      <c r="D56" s="357">
        <v>75</v>
      </c>
      <c r="E56" s="357">
        <f>SUM(F56:P56)</f>
        <v>750</v>
      </c>
      <c r="F56" s="357"/>
      <c r="G56" s="357"/>
      <c r="H56" s="357"/>
      <c r="I56" s="357"/>
      <c r="J56" s="357"/>
      <c r="K56" s="357">
        <f>D56*5</f>
        <v>375</v>
      </c>
      <c r="L56" s="357"/>
      <c r="M56" s="357"/>
      <c r="N56" s="357"/>
      <c r="O56" s="357"/>
      <c r="P56" s="357">
        <f>D56*5</f>
        <v>375</v>
      </c>
      <c r="Q56" s="355"/>
    </row>
    <row r="57" spans="1:18" s="78" customFormat="1" ht="18.75">
      <c r="A57" s="2" t="s">
        <v>81</v>
      </c>
      <c r="B57" s="102" t="s">
        <v>451</v>
      </c>
      <c r="C57" s="359" t="s">
        <v>74</v>
      </c>
      <c r="D57" s="338">
        <v>14</v>
      </c>
      <c r="E57" s="338">
        <f>SUM(F57:P57)</f>
        <v>70</v>
      </c>
      <c r="F57" s="338"/>
      <c r="G57" s="338"/>
      <c r="H57" s="338">
        <f>D57*5</f>
        <v>70</v>
      </c>
      <c r="I57" s="338"/>
      <c r="J57" s="338"/>
      <c r="K57" s="338"/>
      <c r="L57" s="338"/>
      <c r="M57" s="338"/>
      <c r="N57" s="338"/>
      <c r="O57" s="338"/>
      <c r="P57" s="338"/>
      <c r="Q57" s="2"/>
    </row>
  </sheetData>
  <mergeCells count="21">
    <mergeCell ref="Q40:Q41"/>
    <mergeCell ref="A1:Y1"/>
    <mergeCell ref="A2:Y2"/>
    <mergeCell ref="R3:Y3"/>
    <mergeCell ref="M6:M7"/>
    <mergeCell ref="D5:D7"/>
    <mergeCell ref="Q4:Q7"/>
    <mergeCell ref="E5:E7"/>
    <mergeCell ref="F5:M5"/>
    <mergeCell ref="N5:N7"/>
    <mergeCell ref="O5:O7"/>
    <mergeCell ref="A4:A7"/>
    <mergeCell ref="B4:B7"/>
    <mergeCell ref="C4:C7"/>
    <mergeCell ref="D4:E4"/>
    <mergeCell ref="F4:P4"/>
    <mergeCell ref="I6:L6"/>
    <mergeCell ref="P5:P7"/>
    <mergeCell ref="F6:F7"/>
    <mergeCell ref="G6:G7"/>
    <mergeCell ref="H6:H7"/>
  </mergeCells>
  <phoneticPr fontId="1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L92"/>
  <sheetViews>
    <sheetView showZeros="0" zoomScaleNormal="100" zoomScaleSheetLayoutView="70" workbookViewId="0">
      <pane xSplit="4" ySplit="8" topLeftCell="E9" activePane="bottomRight" state="frozen"/>
      <selection activeCell="E25" sqref="E25"/>
      <selection pane="topRight" activeCell="E25" sqref="E25"/>
      <selection pane="bottomLeft" activeCell="E25" sqref="E25"/>
      <selection pane="bottomRight" activeCell="E25" sqref="E25"/>
    </sheetView>
  </sheetViews>
  <sheetFormatPr defaultColWidth="8.375" defaultRowHeight="12.75"/>
  <cols>
    <col min="1" max="1" width="3.5" style="611" customWidth="1"/>
    <col min="2" max="2" width="37.125" style="623" customWidth="1"/>
    <col min="3" max="3" width="4.75" style="706" customWidth="1"/>
    <col min="4" max="4" width="5.875" style="707" customWidth="1"/>
    <col min="5" max="5" width="9.625" style="706" customWidth="1"/>
    <col min="6" max="6" width="9" style="708" customWidth="1"/>
    <col min="7" max="7" width="8.5" style="623" customWidth="1"/>
    <col min="8" max="8" width="12.875" style="623" customWidth="1"/>
    <col min="9" max="9" width="9.625" style="623" customWidth="1"/>
    <col min="10" max="15" width="9.625" style="623" hidden="1" customWidth="1"/>
    <col min="16" max="16" width="9.375" style="623" hidden="1" customWidth="1"/>
    <col min="17" max="17" width="8.625" style="623" hidden="1" customWidth="1"/>
    <col min="18" max="18" width="11" style="623" hidden="1" customWidth="1"/>
    <col min="19" max="19" width="8.5" style="623" customWidth="1"/>
    <col min="20" max="20" width="8.125" style="709" customWidth="1"/>
    <col min="21" max="21" width="8.75" style="709" hidden="1" customWidth="1"/>
    <col min="22" max="22" width="12.625" style="709" customWidth="1"/>
    <col min="23" max="24" width="8.25" style="623" customWidth="1"/>
    <col min="25" max="25" width="10.625" style="709" customWidth="1"/>
    <col min="26" max="26" width="7.75" style="709" customWidth="1"/>
    <col min="27" max="27" width="7.875" style="623" customWidth="1"/>
    <col min="28" max="28" width="8.75" style="623" hidden="1" customWidth="1"/>
    <col min="29" max="29" width="6.375" style="623" hidden="1" customWidth="1"/>
    <col min="30" max="30" width="9" style="623" customWidth="1"/>
    <col min="31" max="31" width="7.75" style="709" customWidth="1"/>
    <col min="32" max="32" width="8" style="709" customWidth="1"/>
    <col min="33" max="33" width="13.75" style="710" hidden="1" customWidth="1"/>
    <col min="34" max="34" width="5.25" style="710" hidden="1" customWidth="1"/>
    <col min="35" max="35" width="8.375" style="623" hidden="1" customWidth="1"/>
    <col min="36" max="37" width="8.375" style="623"/>
    <col min="38" max="38" width="20.875" style="623" customWidth="1"/>
    <col min="39" max="16384" width="8.375" style="623"/>
  </cols>
  <sheetData>
    <row r="1" spans="1:38" s="610" customFormat="1" ht="29.25" customHeight="1">
      <c r="A1" s="1535" t="s">
        <v>704</v>
      </c>
      <c r="B1" s="1535"/>
      <c r="C1" s="1535"/>
      <c r="D1" s="1535"/>
      <c r="E1" s="1535"/>
      <c r="F1" s="1535"/>
      <c r="G1" s="1535"/>
      <c r="H1" s="1535"/>
      <c r="I1" s="1535"/>
      <c r="J1" s="1535"/>
      <c r="K1" s="1535"/>
      <c r="L1" s="1535"/>
      <c r="M1" s="1535"/>
      <c r="N1" s="1535"/>
      <c r="O1" s="1535"/>
      <c r="P1" s="1535"/>
      <c r="Q1" s="1535"/>
      <c r="R1" s="1535"/>
      <c r="S1" s="1535"/>
      <c r="T1" s="1535"/>
      <c r="U1" s="1535"/>
      <c r="V1" s="1535"/>
      <c r="W1" s="1535"/>
      <c r="X1" s="1535"/>
      <c r="Y1" s="1535"/>
      <c r="Z1" s="1535"/>
      <c r="AA1" s="1535"/>
      <c r="AB1" s="1535"/>
      <c r="AC1" s="1535"/>
      <c r="AD1" s="1535"/>
      <c r="AE1" s="1535"/>
      <c r="AF1" s="1535"/>
      <c r="AG1" s="609"/>
      <c r="AH1" s="609"/>
    </row>
    <row r="2" spans="1:38" s="610" customFormat="1" ht="15" customHeight="1">
      <c r="A2" s="1509" t="s">
        <v>354</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609"/>
      <c r="AH2" s="609"/>
    </row>
    <row r="3" spans="1:38" s="610" customFormat="1" ht="13.5">
      <c r="A3" s="611"/>
      <c r="C3" s="612"/>
      <c r="D3" s="613"/>
      <c r="E3" s="614"/>
      <c r="F3" s="615"/>
      <c r="S3" s="616"/>
      <c r="T3" s="616"/>
      <c r="U3" s="616"/>
      <c r="V3" s="616"/>
      <c r="Y3" s="1536"/>
      <c r="Z3" s="1536"/>
      <c r="AA3" s="1536"/>
      <c r="AB3" s="1536"/>
      <c r="AC3" s="1536"/>
      <c r="AD3" s="1536"/>
      <c r="AE3" s="1536"/>
      <c r="AF3" s="1536"/>
      <c r="AG3" s="609"/>
      <c r="AH3" s="609"/>
    </row>
    <row r="4" spans="1:38" s="610" customFormat="1" ht="20.25" customHeight="1">
      <c r="A4" s="1537" t="s">
        <v>130</v>
      </c>
      <c r="B4" s="1517" t="s">
        <v>62</v>
      </c>
      <c r="C4" s="1517" t="s">
        <v>1</v>
      </c>
      <c r="D4" s="1541" t="s">
        <v>147</v>
      </c>
      <c r="E4" s="1517" t="s">
        <v>355</v>
      </c>
      <c r="F4" s="1520" t="s">
        <v>356</v>
      </c>
      <c r="G4" s="1520"/>
      <c r="H4" s="1520"/>
      <c r="I4" s="1520"/>
      <c r="J4" s="1520"/>
      <c r="K4" s="1520"/>
      <c r="L4" s="1520"/>
      <c r="M4" s="1520"/>
      <c r="N4" s="1520"/>
      <c r="O4" s="1520"/>
      <c r="P4" s="1520"/>
      <c r="Q4" s="1520"/>
      <c r="R4" s="1520"/>
      <c r="S4" s="1520"/>
      <c r="T4" s="1520"/>
      <c r="U4" s="1520"/>
      <c r="V4" s="1520"/>
      <c r="W4" s="1520"/>
      <c r="X4" s="1520"/>
      <c r="Y4" s="1520"/>
      <c r="Z4" s="1520"/>
      <c r="AA4" s="1520"/>
      <c r="AB4" s="1520"/>
      <c r="AC4" s="1520"/>
      <c r="AD4" s="1520"/>
      <c r="AE4" s="1520"/>
      <c r="AF4" s="1520"/>
      <c r="AG4" s="609"/>
      <c r="AH4" s="609"/>
    </row>
    <row r="5" spans="1:38" s="610" customFormat="1" ht="20.25" customHeight="1">
      <c r="A5" s="1537"/>
      <c r="B5" s="1517"/>
      <c r="C5" s="1517"/>
      <c r="D5" s="1542"/>
      <c r="E5" s="1517"/>
      <c r="F5" s="1532" t="s">
        <v>158</v>
      </c>
      <c r="G5" s="618" t="s">
        <v>357</v>
      </c>
      <c r="H5" s="618"/>
      <c r="I5" s="618"/>
      <c r="J5" s="618"/>
      <c r="K5" s="618"/>
      <c r="L5" s="618"/>
      <c r="M5" s="618"/>
      <c r="N5" s="618"/>
      <c r="O5" s="618"/>
      <c r="P5" s="618"/>
      <c r="Q5" s="618"/>
      <c r="R5" s="618"/>
      <c r="S5" s="618"/>
      <c r="T5" s="618"/>
      <c r="U5" s="618"/>
      <c r="V5" s="618"/>
      <c r="W5" s="618"/>
      <c r="X5" s="618"/>
      <c r="Y5" s="1517" t="s">
        <v>358</v>
      </c>
      <c r="Z5" s="1532" t="s">
        <v>163</v>
      </c>
      <c r="AA5" s="618" t="s">
        <v>2</v>
      </c>
      <c r="AB5" s="618"/>
      <c r="AC5" s="618"/>
      <c r="AD5" s="618"/>
      <c r="AE5" s="1538" t="s">
        <v>148</v>
      </c>
      <c r="AF5" s="1517" t="s">
        <v>127</v>
      </c>
      <c r="AG5" s="609"/>
      <c r="AH5" s="609"/>
    </row>
    <row r="6" spans="1:38" s="610" customFormat="1" ht="20.25" customHeight="1">
      <c r="A6" s="1537"/>
      <c r="B6" s="1517"/>
      <c r="C6" s="1517"/>
      <c r="D6" s="1542"/>
      <c r="E6" s="1517"/>
      <c r="F6" s="1533"/>
      <c r="G6" s="1532" t="s">
        <v>359</v>
      </c>
      <c r="H6" s="1524" t="s">
        <v>2</v>
      </c>
      <c r="I6" s="1525"/>
      <c r="J6" s="1525"/>
      <c r="K6" s="1525"/>
      <c r="L6" s="1525"/>
      <c r="M6" s="1525"/>
      <c r="N6" s="1525"/>
      <c r="O6" s="1525"/>
      <c r="P6" s="1525"/>
      <c r="Q6" s="1525"/>
      <c r="R6" s="1525"/>
      <c r="S6" s="1526"/>
      <c r="T6" s="1532" t="s">
        <v>164</v>
      </c>
      <c r="U6" s="1524" t="s">
        <v>2</v>
      </c>
      <c r="V6" s="1525"/>
      <c r="W6" s="1526"/>
      <c r="X6" s="1544" t="s">
        <v>705</v>
      </c>
      <c r="Y6" s="1517"/>
      <c r="Z6" s="1533"/>
      <c r="AA6" s="1529" t="s">
        <v>360</v>
      </c>
      <c r="AB6" s="1529" t="s">
        <v>361</v>
      </c>
      <c r="AC6" s="1529" t="s">
        <v>362</v>
      </c>
      <c r="AD6" s="1529" t="s">
        <v>363</v>
      </c>
      <c r="AE6" s="1539"/>
      <c r="AF6" s="1517"/>
      <c r="AG6" s="609"/>
      <c r="AH6" s="609"/>
    </row>
    <row r="7" spans="1:38" s="610" customFormat="1" ht="32.25" customHeight="1">
      <c r="A7" s="1537"/>
      <c r="B7" s="1517"/>
      <c r="C7" s="1517"/>
      <c r="D7" s="1542"/>
      <c r="E7" s="1517"/>
      <c r="F7" s="1533"/>
      <c r="G7" s="1533"/>
      <c r="H7" s="1520" t="s">
        <v>706</v>
      </c>
      <c r="I7" s="1520" t="s">
        <v>364</v>
      </c>
      <c r="J7" s="1527" t="s">
        <v>707</v>
      </c>
      <c r="K7" s="1517" t="s">
        <v>2</v>
      </c>
      <c r="L7" s="1517"/>
      <c r="M7" s="1527" t="s">
        <v>708</v>
      </c>
      <c r="N7" s="1517" t="s">
        <v>2</v>
      </c>
      <c r="O7" s="1517"/>
      <c r="P7" s="1527" t="s">
        <v>365</v>
      </c>
      <c r="Q7" s="1517" t="s">
        <v>2</v>
      </c>
      <c r="R7" s="1517"/>
      <c r="S7" s="1518" t="s">
        <v>187</v>
      </c>
      <c r="T7" s="1533"/>
      <c r="U7" s="1520" t="s">
        <v>165</v>
      </c>
      <c r="V7" s="1520" t="s">
        <v>366</v>
      </c>
      <c r="W7" s="1520" t="s">
        <v>166</v>
      </c>
      <c r="X7" s="1545"/>
      <c r="Y7" s="1517"/>
      <c r="Z7" s="1533"/>
      <c r="AA7" s="1530"/>
      <c r="AB7" s="1530"/>
      <c r="AC7" s="1530"/>
      <c r="AD7" s="1530"/>
      <c r="AE7" s="1539"/>
      <c r="AF7" s="1517"/>
      <c r="AG7" s="609"/>
      <c r="AH7" s="609"/>
      <c r="AL7" s="619" t="e">
        <f>G11+T11+Y11+Z11+AE11+AF11</f>
        <v>#REF!</v>
      </c>
    </row>
    <row r="8" spans="1:38" s="610" customFormat="1" ht="59.25" customHeight="1">
      <c r="A8" s="1537"/>
      <c r="B8" s="1517"/>
      <c r="C8" s="1517"/>
      <c r="D8" s="1543"/>
      <c r="E8" s="1517"/>
      <c r="F8" s="1534"/>
      <c r="G8" s="1534"/>
      <c r="H8" s="1520"/>
      <c r="I8" s="1520"/>
      <c r="J8" s="1528"/>
      <c r="K8" s="620" t="s">
        <v>367</v>
      </c>
      <c r="L8" s="620" t="s">
        <v>368</v>
      </c>
      <c r="M8" s="1528"/>
      <c r="N8" s="620" t="s">
        <v>367</v>
      </c>
      <c r="O8" s="620" t="s">
        <v>368</v>
      </c>
      <c r="P8" s="1528"/>
      <c r="Q8" s="620" t="s">
        <v>367</v>
      </c>
      <c r="R8" s="620" t="s">
        <v>368</v>
      </c>
      <c r="S8" s="1519"/>
      <c r="T8" s="1534"/>
      <c r="U8" s="1520"/>
      <c r="V8" s="1520"/>
      <c r="W8" s="1520"/>
      <c r="X8" s="1546"/>
      <c r="Y8" s="1517"/>
      <c r="Z8" s="1534"/>
      <c r="AA8" s="1531"/>
      <c r="AB8" s="1531"/>
      <c r="AC8" s="1531"/>
      <c r="AD8" s="1531"/>
      <c r="AE8" s="1540"/>
      <c r="AF8" s="1517"/>
      <c r="AG8" s="609"/>
      <c r="AH8" s="609"/>
      <c r="AK8" s="610" t="s">
        <v>128</v>
      </c>
      <c r="AL8" s="619" t="e">
        <f>W11+S11+P11</f>
        <v>#REF!</v>
      </c>
    </row>
    <row r="9" spans="1:38">
      <c r="A9" s="621" t="s">
        <v>167</v>
      </c>
      <c r="B9" s="622" t="s">
        <v>168</v>
      </c>
      <c r="C9" s="622" t="s">
        <v>169</v>
      </c>
      <c r="D9" s="622" t="s">
        <v>170</v>
      </c>
      <c r="E9" s="622" t="s">
        <v>171</v>
      </c>
      <c r="F9" s="622" t="s">
        <v>172</v>
      </c>
      <c r="G9" s="622" t="s">
        <v>173</v>
      </c>
      <c r="H9" s="622" t="s">
        <v>174</v>
      </c>
      <c r="I9" s="622">
        <v>9</v>
      </c>
      <c r="J9" s="622"/>
      <c r="K9" s="622"/>
      <c r="L9" s="622"/>
      <c r="M9" s="622"/>
      <c r="N9" s="622"/>
      <c r="O9" s="622"/>
      <c r="P9" s="622">
        <v>10</v>
      </c>
      <c r="Q9" s="622">
        <v>11</v>
      </c>
      <c r="R9" s="622">
        <v>12</v>
      </c>
      <c r="S9" s="622">
        <v>13</v>
      </c>
      <c r="T9" s="622">
        <v>14</v>
      </c>
      <c r="U9" s="622">
        <v>15</v>
      </c>
      <c r="V9" s="622">
        <v>16</v>
      </c>
      <c r="W9" s="622">
        <v>17</v>
      </c>
      <c r="X9" s="622"/>
      <c r="Y9" s="622">
        <v>18</v>
      </c>
      <c r="Z9" s="622">
        <v>19</v>
      </c>
      <c r="AA9" s="622">
        <v>20</v>
      </c>
      <c r="AB9" s="622">
        <v>18</v>
      </c>
      <c r="AC9" s="622">
        <v>19</v>
      </c>
      <c r="AD9" s="622">
        <v>21</v>
      </c>
      <c r="AE9" s="622">
        <v>22</v>
      </c>
      <c r="AF9" s="622">
        <v>23</v>
      </c>
      <c r="AG9" s="622"/>
      <c r="AH9" s="622"/>
      <c r="AI9" s="622" t="s">
        <v>168</v>
      </c>
    </row>
    <row r="10" spans="1:38" hidden="1">
      <c r="A10" s="621"/>
      <c r="B10" s="622"/>
      <c r="C10" s="622"/>
      <c r="D10" s="622"/>
      <c r="E10" s="624" t="e">
        <f>+E12-E11</f>
        <v>#REF!</v>
      </c>
      <c r="F10" s="624" t="e">
        <f t="shared" ref="F10:AF10" si="0">+F12-F11</f>
        <v>#REF!</v>
      </c>
      <c r="G10" s="624" t="e">
        <f t="shared" si="0"/>
        <v>#REF!</v>
      </c>
      <c r="H10" s="624" t="e">
        <f t="shared" si="0"/>
        <v>#REF!</v>
      </c>
      <c r="I10" s="624" t="e">
        <f t="shared" si="0"/>
        <v>#REF!</v>
      </c>
      <c r="J10" s="624"/>
      <c r="K10" s="624"/>
      <c r="L10" s="624"/>
      <c r="M10" s="624"/>
      <c r="N10" s="624"/>
      <c r="O10" s="624"/>
      <c r="P10" s="624" t="e">
        <f>+P12-P11</f>
        <v>#REF!</v>
      </c>
      <c r="Q10" s="624" t="e">
        <f>+Q12-Q11</f>
        <v>#REF!</v>
      </c>
      <c r="R10" s="624" t="e">
        <f t="shared" si="0"/>
        <v>#REF!</v>
      </c>
      <c r="S10" s="624" t="e">
        <f t="shared" si="0"/>
        <v>#REF!</v>
      </c>
      <c r="T10" s="624" t="e">
        <f t="shared" si="0"/>
        <v>#REF!</v>
      </c>
      <c r="U10" s="624" t="e">
        <f t="shared" si="0"/>
        <v>#REF!</v>
      </c>
      <c r="V10" s="624" t="e">
        <f t="shared" si="0"/>
        <v>#REF!</v>
      </c>
      <c r="W10" s="624" t="e">
        <f t="shared" si="0"/>
        <v>#REF!</v>
      </c>
      <c r="X10" s="624"/>
      <c r="Y10" s="624" t="e">
        <f t="shared" si="0"/>
        <v>#REF!</v>
      </c>
      <c r="Z10" s="624" t="e">
        <f t="shared" si="0"/>
        <v>#REF!</v>
      </c>
      <c r="AA10" s="624" t="e">
        <f t="shared" si="0"/>
        <v>#REF!</v>
      </c>
      <c r="AB10" s="624" t="e">
        <f t="shared" si="0"/>
        <v>#REF!</v>
      </c>
      <c r="AC10" s="624" t="e">
        <f t="shared" si="0"/>
        <v>#REF!</v>
      </c>
      <c r="AD10" s="624" t="e">
        <f t="shared" si="0"/>
        <v>#REF!</v>
      </c>
      <c r="AE10" s="624" t="e">
        <f t="shared" si="0"/>
        <v>#REF!</v>
      </c>
      <c r="AF10" s="624" t="e">
        <f t="shared" si="0"/>
        <v>#REF!</v>
      </c>
      <c r="AG10" s="625" t="e">
        <f>+AG12-AG11</f>
        <v>#REF!</v>
      </c>
      <c r="AH10" s="625" t="e">
        <f>+AH12-AH11</f>
        <v>#REF!</v>
      </c>
      <c r="AI10" s="625" t="e">
        <f>+AI12-AI11</f>
        <v>#REF!</v>
      </c>
    </row>
    <row r="11" spans="1:38" s="633" customFormat="1" ht="15.75" hidden="1" customHeight="1">
      <c r="A11" s="617"/>
      <c r="B11" s="617" t="s">
        <v>709</v>
      </c>
      <c r="C11" s="617" t="s">
        <v>103</v>
      </c>
      <c r="D11" s="626"/>
      <c r="E11" s="627" t="e">
        <f>+E37+E76+#REF!</f>
        <v>#REF!</v>
      </c>
      <c r="F11" s="627" t="e">
        <f>+F37+F76+#REF!</f>
        <v>#REF!</v>
      </c>
      <c r="G11" s="627" t="e">
        <f>+G37+G76+#REF!</f>
        <v>#REF!</v>
      </c>
      <c r="H11" s="627" t="e">
        <f>+H37+H76+#REF!</f>
        <v>#REF!</v>
      </c>
      <c r="I11" s="627" t="e">
        <f>+I37+I76+#REF!</f>
        <v>#REF!</v>
      </c>
      <c r="J11" s="627"/>
      <c r="K11" s="627"/>
      <c r="L11" s="627"/>
      <c r="M11" s="627"/>
      <c r="N11" s="627"/>
      <c r="O11" s="627"/>
      <c r="P11" s="627" t="e">
        <f>+P37+P76+#REF!</f>
        <v>#REF!</v>
      </c>
      <c r="Q11" s="627" t="e">
        <f>+Q37+Q76+#REF!</f>
        <v>#REF!</v>
      </c>
      <c r="R11" s="627" t="e">
        <f>+R37+R76+#REF!</f>
        <v>#REF!</v>
      </c>
      <c r="S11" s="627" t="e">
        <f>+S37+S76+#REF!</f>
        <v>#REF!</v>
      </c>
      <c r="T11" s="627" t="e">
        <f>+T37+T76+#REF!</f>
        <v>#REF!</v>
      </c>
      <c r="U11" s="627" t="e">
        <f>+U37+U76+#REF!</f>
        <v>#REF!</v>
      </c>
      <c r="V11" s="627" t="e">
        <f>+V37+V76+#REF!</f>
        <v>#REF!</v>
      </c>
      <c r="W11" s="627" t="e">
        <f>+W37+W76+#REF!</f>
        <v>#REF!</v>
      </c>
      <c r="X11" s="627"/>
      <c r="Y11" s="627" t="e">
        <f>+Y37+Y76+#REF!</f>
        <v>#REF!</v>
      </c>
      <c r="Z11" s="627" t="e">
        <f>+Z37+Z76+#REF!</f>
        <v>#REF!</v>
      </c>
      <c r="AA11" s="627" t="e">
        <f>+AA37+AA76+#REF!</f>
        <v>#REF!</v>
      </c>
      <c r="AB11" s="627" t="e">
        <f>+AB37+AB76+#REF!</f>
        <v>#REF!</v>
      </c>
      <c r="AC11" s="627" t="e">
        <f>+AC37+AC76+#REF!</f>
        <v>#REF!</v>
      </c>
      <c r="AD11" s="627" t="e">
        <f>+AD37+AD76+#REF!</f>
        <v>#REF!</v>
      </c>
      <c r="AE11" s="627" t="e">
        <f>+AE37+AE76+#REF!</f>
        <v>#REF!</v>
      </c>
      <c r="AF11" s="627" t="e">
        <f>+AF37+AF76+#REF!</f>
        <v>#REF!</v>
      </c>
      <c r="AG11" s="628"/>
      <c r="AH11" s="629" t="e">
        <f>E11-F11-Y11-Z11-AE11-AF11</f>
        <v>#REF!</v>
      </c>
      <c r="AI11" s="630"/>
      <c r="AJ11" s="631" t="e">
        <f>E11-F11-Y11-Z11-AE11-AF11</f>
        <v>#REF!</v>
      </c>
      <c r="AK11" s="632" t="e">
        <f>E11-F11-Y11-Z11-AE11-AF11</f>
        <v>#REF!</v>
      </c>
    </row>
    <row r="12" spans="1:38" s="633" customFormat="1" ht="13.5" hidden="1">
      <c r="A12" s="617"/>
      <c r="B12" s="617"/>
      <c r="C12" s="617"/>
      <c r="D12" s="626"/>
      <c r="E12" s="627" t="e">
        <f>+E13+E14+E19+E20+E24+E30+E31+E32</f>
        <v>#REF!</v>
      </c>
      <c r="F12" s="627" t="e">
        <f t="shared" ref="F12:AI12" si="1">+F13+F14+F19+F20+F24+F30+F31+F32</f>
        <v>#REF!</v>
      </c>
      <c r="G12" s="627" t="e">
        <f t="shared" si="1"/>
        <v>#REF!</v>
      </c>
      <c r="H12" s="627" t="e">
        <f t="shared" si="1"/>
        <v>#REF!</v>
      </c>
      <c r="I12" s="627" t="e">
        <f t="shared" si="1"/>
        <v>#REF!</v>
      </c>
      <c r="J12" s="627"/>
      <c r="K12" s="627"/>
      <c r="L12" s="627"/>
      <c r="M12" s="627"/>
      <c r="N12" s="627"/>
      <c r="O12" s="627"/>
      <c r="P12" s="627" t="e">
        <f t="shared" si="1"/>
        <v>#REF!</v>
      </c>
      <c r="Q12" s="627" t="e">
        <f t="shared" si="1"/>
        <v>#REF!</v>
      </c>
      <c r="R12" s="627" t="e">
        <f t="shared" si="1"/>
        <v>#REF!</v>
      </c>
      <c r="S12" s="627" t="e">
        <f t="shared" si="1"/>
        <v>#REF!</v>
      </c>
      <c r="T12" s="627" t="e">
        <f t="shared" si="1"/>
        <v>#REF!</v>
      </c>
      <c r="U12" s="627" t="e">
        <f t="shared" si="1"/>
        <v>#REF!</v>
      </c>
      <c r="V12" s="627" t="e">
        <f t="shared" si="1"/>
        <v>#REF!</v>
      </c>
      <c r="W12" s="627" t="e">
        <f t="shared" si="1"/>
        <v>#REF!</v>
      </c>
      <c r="X12" s="627"/>
      <c r="Y12" s="627" t="e">
        <f t="shared" si="1"/>
        <v>#REF!</v>
      </c>
      <c r="Z12" s="627" t="e">
        <f t="shared" si="1"/>
        <v>#REF!</v>
      </c>
      <c r="AA12" s="627" t="e">
        <f t="shared" si="1"/>
        <v>#REF!</v>
      </c>
      <c r="AB12" s="627" t="e">
        <f t="shared" si="1"/>
        <v>#REF!</v>
      </c>
      <c r="AC12" s="627" t="e">
        <f t="shared" si="1"/>
        <v>#REF!</v>
      </c>
      <c r="AD12" s="627" t="e">
        <f t="shared" si="1"/>
        <v>#REF!</v>
      </c>
      <c r="AE12" s="627" t="e">
        <f t="shared" si="1"/>
        <v>#REF!</v>
      </c>
      <c r="AF12" s="627" t="e">
        <f t="shared" si="1"/>
        <v>#REF!</v>
      </c>
      <c r="AG12" s="634" t="e">
        <f t="shared" si="1"/>
        <v>#REF!</v>
      </c>
      <c r="AH12" s="634" t="e">
        <f t="shared" si="1"/>
        <v>#REF!</v>
      </c>
      <c r="AI12" s="634" t="e">
        <f t="shared" si="1"/>
        <v>#REF!</v>
      </c>
      <c r="AJ12" s="631" t="e">
        <f>E12-F12-Y12-Z12-AE12-AF12</f>
        <v>#REF!</v>
      </c>
      <c r="AK12" s="632" t="e">
        <f>E12-F12-Y12-Z12-AE12-AF12</f>
        <v>#REF!</v>
      </c>
    </row>
    <row r="13" spans="1:38" s="641" customFormat="1" ht="13.5" hidden="1">
      <c r="A13" s="635">
        <v>1</v>
      </c>
      <c r="B13" s="636" t="s">
        <v>369</v>
      </c>
      <c r="C13" s="637" t="s">
        <v>71</v>
      </c>
      <c r="D13" s="638" t="e">
        <f>+D39+#REF!+#REF!+#REF!+#REF!+#REF!+#REF!+#REF!+D78+#REF!+#REF!+#REF!+#REF!+#REF!+#REF!</f>
        <v>#REF!</v>
      </c>
      <c r="E13" s="638" t="e">
        <f>+E39+#REF!+#REF!+#REF!+#REF!+#REF!+#REF!+#REF!+E78+#REF!+#REF!+#REF!+#REF!+#REF!+#REF!</f>
        <v>#REF!</v>
      </c>
      <c r="F13" s="638" t="e">
        <f>+F39+#REF!+#REF!+#REF!+#REF!+#REF!+#REF!+#REF!+F78+#REF!+#REF!+#REF!+#REF!+#REF!+#REF!</f>
        <v>#REF!</v>
      </c>
      <c r="G13" s="638" t="e">
        <f>+G39+#REF!+#REF!+#REF!+#REF!+#REF!+#REF!+#REF!+G78+#REF!+#REF!+#REF!+#REF!+#REF!+#REF!</f>
        <v>#REF!</v>
      </c>
      <c r="H13" s="638" t="e">
        <f>+H39+#REF!+#REF!+#REF!+#REF!+#REF!+#REF!+#REF!+H78+#REF!+#REF!+#REF!+#REF!+#REF!+#REF!</f>
        <v>#REF!</v>
      </c>
      <c r="I13" s="638" t="e">
        <f>+I39+#REF!+#REF!+#REF!+#REF!+#REF!+#REF!+#REF!+I78+#REF!+#REF!+#REF!+#REF!+#REF!+#REF!</f>
        <v>#REF!</v>
      </c>
      <c r="J13" s="638"/>
      <c r="K13" s="638"/>
      <c r="L13" s="638"/>
      <c r="M13" s="638"/>
      <c r="N13" s="638"/>
      <c r="O13" s="638"/>
      <c r="P13" s="638" t="e">
        <f>+P39+#REF!+#REF!+#REF!+#REF!+#REF!+#REF!+#REF!+P78+#REF!+#REF!+#REF!+#REF!+#REF!+#REF!</f>
        <v>#REF!</v>
      </c>
      <c r="Q13" s="638" t="e">
        <f>+Q39+#REF!+#REF!+#REF!+#REF!+#REF!+#REF!+#REF!+Q78+#REF!+#REF!+#REF!+#REF!+#REF!+#REF!</f>
        <v>#REF!</v>
      </c>
      <c r="R13" s="638" t="e">
        <f>+R39+#REF!+#REF!+#REF!+#REF!+#REF!+#REF!+#REF!+R78+#REF!+#REF!+#REF!+#REF!+#REF!+#REF!</f>
        <v>#REF!</v>
      </c>
      <c r="S13" s="638" t="e">
        <f>+S39+#REF!+#REF!+#REF!+#REF!+#REF!+#REF!+#REF!+S78+#REF!+#REF!+#REF!+#REF!+#REF!+#REF!</f>
        <v>#REF!</v>
      </c>
      <c r="T13" s="638" t="e">
        <f>+T39+#REF!+#REF!+#REF!+#REF!+#REF!+#REF!+#REF!+T78+#REF!+#REF!+#REF!+#REF!+#REF!+#REF!</f>
        <v>#REF!</v>
      </c>
      <c r="U13" s="638" t="e">
        <f>+U39+#REF!+#REF!+#REF!+#REF!+#REF!+#REF!+#REF!+U78+#REF!+#REF!+#REF!+#REF!+#REF!+#REF!</f>
        <v>#REF!</v>
      </c>
      <c r="V13" s="638" t="e">
        <f>+V39+#REF!+#REF!+#REF!+#REF!+#REF!+#REF!+#REF!+V78+#REF!+#REF!+#REF!+#REF!+#REF!+#REF!</f>
        <v>#REF!</v>
      </c>
      <c r="W13" s="638" t="e">
        <f>+W39+#REF!+#REF!+#REF!+#REF!+#REF!+#REF!+#REF!+W78+#REF!+#REF!+#REF!+#REF!+#REF!+#REF!</f>
        <v>#REF!</v>
      </c>
      <c r="X13" s="638"/>
      <c r="Y13" s="638" t="e">
        <f>+Y39+#REF!+#REF!+#REF!+#REF!+#REF!+#REF!+#REF!+Y78+#REF!+#REF!+#REF!+#REF!+#REF!+#REF!</f>
        <v>#REF!</v>
      </c>
      <c r="Z13" s="638" t="e">
        <f>+Z39+#REF!+#REF!+#REF!+#REF!+#REF!+#REF!+#REF!+Z78+#REF!+#REF!+#REF!+#REF!+#REF!+#REF!</f>
        <v>#REF!</v>
      </c>
      <c r="AA13" s="638" t="e">
        <f>+AA39+#REF!+#REF!+#REF!+#REF!+#REF!+#REF!+#REF!+AA78+#REF!+#REF!+#REF!+#REF!+#REF!+#REF!</f>
        <v>#REF!</v>
      </c>
      <c r="AB13" s="638" t="e">
        <f>+AB39+#REF!+#REF!+#REF!+#REF!+#REF!+#REF!+#REF!+AB78+#REF!+#REF!+#REF!+#REF!+#REF!+#REF!</f>
        <v>#REF!</v>
      </c>
      <c r="AC13" s="638" t="e">
        <f>+AC39+#REF!+#REF!+#REF!+#REF!+#REF!+#REF!+#REF!+AC78+#REF!+#REF!+#REF!+#REF!+#REF!+#REF!</f>
        <v>#REF!</v>
      </c>
      <c r="AD13" s="638" t="e">
        <f>+AD39+#REF!+#REF!+#REF!+#REF!+#REF!+#REF!+#REF!+AD78+#REF!+#REF!+#REF!+#REF!+#REF!+#REF!</f>
        <v>#REF!</v>
      </c>
      <c r="AE13" s="638" t="e">
        <f>+AE39+#REF!+#REF!+#REF!+#REF!+#REF!+#REF!+#REF!+AE78+#REF!+#REF!+#REF!+#REF!+#REF!+#REF!</f>
        <v>#REF!</v>
      </c>
      <c r="AF13" s="638" t="e">
        <f>+AF39+#REF!+#REF!+#REF!+#REF!+#REF!+#REF!+#REF!+AF78+#REF!+#REF!+#REF!+#REF!+#REF!+#REF!</f>
        <v>#REF!</v>
      </c>
      <c r="AG13" s="639" t="e">
        <f>+AG14+AG19+AG20+#REF!+AG30+AG31+AG32</f>
        <v>#REF!</v>
      </c>
      <c r="AH13" s="640" t="e">
        <f>+AH14+AH19+AH20+#REF!+AH30+AH31+AH32</f>
        <v>#REF!</v>
      </c>
      <c r="AI13" s="640" t="e">
        <f>+AI14+AI19+AI20+#REF!+AI30+AI31+AI32</f>
        <v>#REF!</v>
      </c>
      <c r="AJ13" s="631" t="e">
        <f>E13-F13-Y13-Z13-AE13-AF13</f>
        <v>#REF!</v>
      </c>
      <c r="AK13" s="632" t="e">
        <f>E13-F13-Y13-Z13-AE13-AF13</f>
        <v>#REF!</v>
      </c>
    </row>
    <row r="14" spans="1:38" s="641" customFormat="1" ht="13.5" hidden="1">
      <c r="A14" s="635">
        <v>1</v>
      </c>
      <c r="B14" s="636" t="s">
        <v>29</v>
      </c>
      <c r="C14" s="642" t="s">
        <v>69</v>
      </c>
      <c r="D14" s="643" t="e">
        <f>SUM(D15:D18)</f>
        <v>#REF!</v>
      </c>
      <c r="E14" s="643" t="e">
        <f>SUM(E15:E18)</f>
        <v>#REF!</v>
      </c>
      <c r="F14" s="643" t="e">
        <f t="shared" ref="F14:AF14" si="2">SUM(F15:F18)</f>
        <v>#REF!</v>
      </c>
      <c r="G14" s="643" t="e">
        <f t="shared" si="2"/>
        <v>#REF!</v>
      </c>
      <c r="H14" s="643" t="e">
        <f t="shared" si="2"/>
        <v>#REF!</v>
      </c>
      <c r="I14" s="643" t="e">
        <f t="shared" si="2"/>
        <v>#REF!</v>
      </c>
      <c r="J14" s="643"/>
      <c r="K14" s="643"/>
      <c r="L14" s="643"/>
      <c r="M14" s="643"/>
      <c r="N14" s="643"/>
      <c r="O14" s="643"/>
      <c r="P14" s="643" t="e">
        <f t="shared" si="2"/>
        <v>#REF!</v>
      </c>
      <c r="Q14" s="643" t="e">
        <f t="shared" si="2"/>
        <v>#REF!</v>
      </c>
      <c r="R14" s="643" t="e">
        <f t="shared" si="2"/>
        <v>#REF!</v>
      </c>
      <c r="S14" s="643" t="e">
        <f t="shared" si="2"/>
        <v>#REF!</v>
      </c>
      <c r="T14" s="643" t="e">
        <f t="shared" si="2"/>
        <v>#REF!</v>
      </c>
      <c r="U14" s="643" t="e">
        <f t="shared" si="2"/>
        <v>#REF!</v>
      </c>
      <c r="V14" s="643" t="e">
        <f t="shared" si="2"/>
        <v>#REF!</v>
      </c>
      <c r="W14" s="643" t="e">
        <f t="shared" si="2"/>
        <v>#REF!</v>
      </c>
      <c r="X14" s="643"/>
      <c r="Y14" s="643" t="e">
        <f t="shared" si="2"/>
        <v>#REF!</v>
      </c>
      <c r="Z14" s="643" t="e">
        <f t="shared" si="2"/>
        <v>#REF!</v>
      </c>
      <c r="AA14" s="643" t="e">
        <f t="shared" si="2"/>
        <v>#REF!</v>
      </c>
      <c r="AB14" s="643" t="e">
        <f t="shared" si="2"/>
        <v>#REF!</v>
      </c>
      <c r="AC14" s="643" t="e">
        <f t="shared" si="2"/>
        <v>#REF!</v>
      </c>
      <c r="AD14" s="643" t="e">
        <f t="shared" si="2"/>
        <v>#REF!</v>
      </c>
      <c r="AE14" s="643" t="e">
        <f t="shared" si="2"/>
        <v>#REF!</v>
      </c>
      <c r="AF14" s="643" t="e">
        <f t="shared" si="2"/>
        <v>#REF!</v>
      </c>
      <c r="AG14" s="644"/>
      <c r="AH14" s="645" t="e">
        <f>E14-F14-Y14-Z14-AE14-AF14</f>
        <v>#REF!</v>
      </c>
      <c r="AJ14" s="631" t="e">
        <f>+E14-G14-T14-Y14-Z14-AE14-AF14</f>
        <v>#REF!</v>
      </c>
      <c r="AK14" s="632" t="e">
        <f>+E14-F14-Y14-Z14-AE14-AF14</f>
        <v>#REF!</v>
      </c>
    </row>
    <row r="15" spans="1:38" s="649" customFormat="1" ht="13.5" hidden="1">
      <c r="A15" s="637" t="s">
        <v>81</v>
      </c>
      <c r="B15" s="646" t="s">
        <v>710</v>
      </c>
      <c r="C15" s="642" t="s">
        <v>69</v>
      </c>
      <c r="D15" s="647" t="e">
        <f>+D41+#REF!+#REF!</f>
        <v>#REF!</v>
      </c>
      <c r="E15" s="647" t="e">
        <f>+E41+#REF!+#REF!</f>
        <v>#REF!</v>
      </c>
      <c r="F15" s="647" t="e">
        <f>+F41+#REF!+#REF!</f>
        <v>#REF!</v>
      </c>
      <c r="G15" s="647" t="e">
        <f>+G41+#REF!+#REF!</f>
        <v>#REF!</v>
      </c>
      <c r="H15" s="647" t="e">
        <f>+H41+#REF!+#REF!</f>
        <v>#REF!</v>
      </c>
      <c r="I15" s="647" t="e">
        <f>+I41+#REF!+#REF!</f>
        <v>#REF!</v>
      </c>
      <c r="J15" s="647"/>
      <c r="K15" s="647"/>
      <c r="L15" s="647"/>
      <c r="M15" s="647"/>
      <c r="N15" s="647"/>
      <c r="O15" s="647"/>
      <c r="P15" s="647" t="e">
        <f>+P41+#REF!+#REF!</f>
        <v>#REF!</v>
      </c>
      <c r="Q15" s="647" t="e">
        <f>+Q41+#REF!+#REF!</f>
        <v>#REF!</v>
      </c>
      <c r="R15" s="647" t="e">
        <f>+R41+#REF!+#REF!</f>
        <v>#REF!</v>
      </c>
      <c r="S15" s="647" t="e">
        <f>+S41+#REF!+#REF!</f>
        <v>#REF!</v>
      </c>
      <c r="T15" s="647" t="e">
        <f>+T41+#REF!+#REF!</f>
        <v>#REF!</v>
      </c>
      <c r="U15" s="647" t="e">
        <f>+U41+#REF!+#REF!</f>
        <v>#REF!</v>
      </c>
      <c r="V15" s="647" t="e">
        <f>+V41+#REF!+#REF!</f>
        <v>#REF!</v>
      </c>
      <c r="W15" s="647" t="e">
        <f>+W41+#REF!+#REF!</f>
        <v>#REF!</v>
      </c>
      <c r="X15" s="647"/>
      <c r="Y15" s="647" t="e">
        <f>+Y41+#REF!+#REF!</f>
        <v>#REF!</v>
      </c>
      <c r="Z15" s="647" t="e">
        <f>+Z41+#REF!+#REF!</f>
        <v>#REF!</v>
      </c>
      <c r="AA15" s="647" t="e">
        <f>+AA41+#REF!+#REF!</f>
        <v>#REF!</v>
      </c>
      <c r="AB15" s="647" t="e">
        <f>+AB41+#REF!+#REF!</f>
        <v>#REF!</v>
      </c>
      <c r="AC15" s="647" t="e">
        <f>+AC41+#REF!+#REF!</f>
        <v>#REF!</v>
      </c>
      <c r="AD15" s="647" t="e">
        <f>+AD41+#REF!+#REF!</f>
        <v>#REF!</v>
      </c>
      <c r="AE15" s="647" t="e">
        <f>+AE41+#REF!+#REF!</f>
        <v>#REF!</v>
      </c>
      <c r="AF15" s="647" t="e">
        <f>+AF41+#REF!+#REF!</f>
        <v>#REF!</v>
      </c>
      <c r="AG15" s="648" t="e">
        <f>+AG41+#REF!+#REF!</f>
        <v>#REF!</v>
      </c>
      <c r="AH15" s="648" t="e">
        <f>+AH41+#REF!+#REF!</f>
        <v>#REF!</v>
      </c>
      <c r="AI15" s="648" t="e">
        <f>+AI41+#REF!+#REF!</f>
        <v>#REF!</v>
      </c>
      <c r="AJ15" s="631" t="e">
        <f t="shared" ref="AJ15:AJ74" si="3">+E15-G15-T15-Y15-Z15-AE15-AF15</f>
        <v>#REF!</v>
      </c>
      <c r="AK15" s="632" t="e">
        <f t="shared" ref="AK15:AK74" si="4">+E15-F15-Y15-Z15-AE15-AF15</f>
        <v>#REF!</v>
      </c>
    </row>
    <row r="16" spans="1:38" s="649" customFormat="1" ht="13.5" hidden="1">
      <c r="A16" s="637" t="s">
        <v>81</v>
      </c>
      <c r="B16" s="646" t="s">
        <v>382</v>
      </c>
      <c r="C16" s="642" t="s">
        <v>69</v>
      </c>
      <c r="D16" s="650" t="e">
        <f>#REF!+D42+#REF!+#REF!+#REF!+#REF!+#REF!+#REF!+#REF!+#REF!+#REF!+#REF!</f>
        <v>#REF!</v>
      </c>
      <c r="E16" s="650" t="e">
        <f>#REF!+E42+#REF!+#REF!+#REF!+#REF!+#REF!+#REF!+#REF!+#REF!+#REF!+#REF!</f>
        <v>#REF!</v>
      </c>
      <c r="F16" s="650" t="e">
        <f>#REF!+F42+#REF!+#REF!+#REF!+#REF!+#REF!+#REF!+#REF!+#REF!+#REF!+#REF!</f>
        <v>#REF!</v>
      </c>
      <c r="G16" s="650" t="e">
        <f>#REF!+G42+#REF!+#REF!+#REF!+#REF!+#REF!+#REF!+#REF!+#REF!+#REF!+#REF!</f>
        <v>#REF!</v>
      </c>
      <c r="H16" s="650" t="e">
        <f>#REF!+H42+#REF!+#REF!+#REF!+#REF!+#REF!+#REF!+#REF!+#REF!+#REF!+#REF!</f>
        <v>#REF!</v>
      </c>
      <c r="I16" s="650" t="e">
        <f>#REF!+I42+#REF!+#REF!+#REF!+#REF!+#REF!+#REF!+#REF!+#REF!+#REF!+#REF!</f>
        <v>#REF!</v>
      </c>
      <c r="J16" s="650"/>
      <c r="K16" s="650"/>
      <c r="L16" s="650"/>
      <c r="M16" s="650"/>
      <c r="N16" s="650"/>
      <c r="O16" s="650"/>
      <c r="P16" s="650" t="e">
        <f>#REF!+P42+#REF!+#REF!+#REF!+#REF!+#REF!+#REF!+#REF!+#REF!+#REF!+#REF!</f>
        <v>#REF!</v>
      </c>
      <c r="Q16" s="650" t="e">
        <f>#REF!+Q42+#REF!+#REF!+#REF!+#REF!+#REF!+#REF!+#REF!+#REF!+#REF!+#REF!</f>
        <v>#REF!</v>
      </c>
      <c r="R16" s="650" t="e">
        <f>#REF!+R42+#REF!+#REF!+#REF!+#REF!+#REF!+#REF!+#REF!+#REF!+#REF!+#REF!</f>
        <v>#REF!</v>
      </c>
      <c r="S16" s="650" t="e">
        <f>#REF!+S42+#REF!+#REF!+#REF!+#REF!+#REF!+#REF!+#REF!+#REF!+#REF!+#REF!</f>
        <v>#REF!</v>
      </c>
      <c r="T16" s="650" t="e">
        <f>#REF!+T42+#REF!+#REF!+#REF!+#REF!+#REF!+#REF!+#REF!+#REF!+#REF!+#REF!</f>
        <v>#REF!</v>
      </c>
      <c r="U16" s="650" t="e">
        <f>#REF!+U42+#REF!+#REF!+#REF!+#REF!+#REF!+#REF!+#REF!+#REF!+#REF!+#REF!</f>
        <v>#REF!</v>
      </c>
      <c r="V16" s="650" t="e">
        <f>#REF!+V42+#REF!+#REF!+#REF!+#REF!+#REF!+#REF!+#REF!+#REF!+#REF!+#REF!</f>
        <v>#REF!</v>
      </c>
      <c r="W16" s="650" t="e">
        <f>#REF!+W42+#REF!+#REF!+#REF!+#REF!+#REF!+#REF!+#REF!+#REF!+#REF!+#REF!</f>
        <v>#REF!</v>
      </c>
      <c r="X16" s="650"/>
      <c r="Y16" s="650" t="e">
        <f>#REF!+Y42+#REF!+#REF!+#REF!+#REF!+#REF!+#REF!+#REF!+#REF!+#REF!+#REF!</f>
        <v>#REF!</v>
      </c>
      <c r="Z16" s="650" t="e">
        <f>#REF!+Z42+#REF!+#REF!+#REF!+#REF!+#REF!+#REF!+#REF!+#REF!+#REF!+#REF!</f>
        <v>#REF!</v>
      </c>
      <c r="AA16" s="650" t="e">
        <f>#REF!+AA42+#REF!+#REF!+#REF!+#REF!+#REF!+#REF!+#REF!+#REF!+#REF!+#REF!</f>
        <v>#REF!</v>
      </c>
      <c r="AB16" s="650" t="e">
        <f>#REF!+AB42+#REF!+#REF!+#REF!+#REF!+#REF!+#REF!+#REF!+#REF!+#REF!+#REF!</f>
        <v>#REF!</v>
      </c>
      <c r="AC16" s="650" t="e">
        <f>#REF!+AC42+#REF!+#REF!+#REF!+#REF!+#REF!+#REF!+#REF!+#REF!+#REF!+#REF!</f>
        <v>#REF!</v>
      </c>
      <c r="AD16" s="650" t="e">
        <f>#REF!+AD42+#REF!+#REF!+#REF!+#REF!+#REF!+#REF!+#REF!+#REF!+#REF!+#REF!</f>
        <v>#REF!</v>
      </c>
      <c r="AE16" s="650" t="e">
        <f>#REF!+AE42+#REF!+#REF!+#REF!+#REF!+#REF!+#REF!+#REF!+#REF!+#REF!+#REF!</f>
        <v>#REF!</v>
      </c>
      <c r="AF16" s="650" t="e">
        <f>#REF!+AF42+#REF!+#REF!+#REF!+#REF!+#REF!+#REF!+#REF!+#REF!+#REF!+#REF!</f>
        <v>#REF!</v>
      </c>
      <c r="AG16" s="651" t="e">
        <f>+AG42+#REF!+#REF!+#REF!+#REF!+#REF!+#REF!+#REF!+#REF!+#REF!+#REF!</f>
        <v>#REF!</v>
      </c>
      <c r="AH16" s="651" t="e">
        <f>+AH42+#REF!+#REF!+#REF!+#REF!+#REF!+#REF!+#REF!+#REF!+#REF!+#REF!</f>
        <v>#REF!</v>
      </c>
      <c r="AI16" s="651" t="e">
        <f>+AI42+#REF!+#REF!+#REF!+#REF!+#REF!+#REF!+#REF!+#REF!+#REF!+#REF!</f>
        <v>#REF!</v>
      </c>
      <c r="AJ16" s="631" t="e">
        <f t="shared" si="3"/>
        <v>#REF!</v>
      </c>
      <c r="AK16" s="632" t="e">
        <f t="shared" si="4"/>
        <v>#REF!</v>
      </c>
    </row>
    <row r="17" spans="1:37" s="649" customFormat="1" ht="13.5" hidden="1">
      <c r="A17" s="637" t="s">
        <v>81</v>
      </c>
      <c r="B17" s="646" t="s">
        <v>181</v>
      </c>
      <c r="C17" s="642" t="s">
        <v>69</v>
      </c>
      <c r="D17" s="647" t="e">
        <f>#REF!+#REF!+#REF!+#REF!+#REF!+#REF!+#REF!+#REF!+#REF!</f>
        <v>#REF!</v>
      </c>
      <c r="E17" s="647" t="e">
        <f>#REF!+#REF!+#REF!+#REF!+#REF!+#REF!+#REF!+#REF!+#REF!</f>
        <v>#REF!</v>
      </c>
      <c r="F17" s="647" t="e">
        <f>#REF!+#REF!+#REF!+#REF!+#REF!+#REF!+#REF!+#REF!+#REF!</f>
        <v>#REF!</v>
      </c>
      <c r="G17" s="647" t="e">
        <f>#REF!+#REF!+#REF!+#REF!+#REF!+#REF!+#REF!+#REF!+#REF!</f>
        <v>#REF!</v>
      </c>
      <c r="H17" s="647" t="e">
        <f>#REF!+#REF!+#REF!+#REF!+#REF!+#REF!+#REF!+#REF!+#REF!</f>
        <v>#REF!</v>
      </c>
      <c r="I17" s="647" t="e">
        <f>#REF!+#REF!+#REF!+#REF!+#REF!+#REF!+#REF!+#REF!+#REF!</f>
        <v>#REF!</v>
      </c>
      <c r="J17" s="647"/>
      <c r="K17" s="647"/>
      <c r="L17" s="647"/>
      <c r="M17" s="647"/>
      <c r="N17" s="647"/>
      <c r="O17" s="647"/>
      <c r="P17" s="647" t="e">
        <f>#REF!+#REF!+#REF!+#REF!+#REF!+#REF!+#REF!+#REF!+#REF!</f>
        <v>#REF!</v>
      </c>
      <c r="Q17" s="647" t="e">
        <f>#REF!+#REF!+#REF!+#REF!+#REF!+#REF!+#REF!+#REF!+#REF!</f>
        <v>#REF!</v>
      </c>
      <c r="R17" s="647" t="e">
        <f>#REF!+#REF!+#REF!+#REF!+#REF!+#REF!+#REF!+#REF!+#REF!</f>
        <v>#REF!</v>
      </c>
      <c r="S17" s="647" t="e">
        <f>#REF!+#REF!+#REF!+#REF!+#REF!+#REF!+#REF!+#REF!+#REF!</f>
        <v>#REF!</v>
      </c>
      <c r="T17" s="647" t="e">
        <f>#REF!+#REF!+#REF!+#REF!+#REF!+#REF!+#REF!+#REF!+#REF!</f>
        <v>#REF!</v>
      </c>
      <c r="U17" s="647" t="e">
        <f>#REF!+#REF!+#REF!+#REF!+#REF!+#REF!+#REF!+#REF!+#REF!</f>
        <v>#REF!</v>
      </c>
      <c r="V17" s="647" t="e">
        <f>#REF!+#REF!+#REF!+#REF!+#REF!+#REF!+#REF!+#REF!+#REF!</f>
        <v>#REF!</v>
      </c>
      <c r="W17" s="647" t="e">
        <f>#REF!+#REF!+#REF!+#REF!+#REF!+#REF!+#REF!+#REF!+#REF!</f>
        <v>#REF!</v>
      </c>
      <c r="X17" s="647"/>
      <c r="Y17" s="647" t="e">
        <f>#REF!+#REF!+#REF!+#REF!+#REF!+#REF!+#REF!+#REF!+#REF!</f>
        <v>#REF!</v>
      </c>
      <c r="Z17" s="647" t="e">
        <f>#REF!+#REF!+#REF!+#REF!+#REF!+#REF!+#REF!+#REF!+#REF!</f>
        <v>#REF!</v>
      </c>
      <c r="AA17" s="647" t="e">
        <f>#REF!+#REF!+#REF!+#REF!+#REF!+#REF!+#REF!+#REF!+#REF!</f>
        <v>#REF!</v>
      </c>
      <c r="AB17" s="647" t="e">
        <f>#REF!+#REF!+#REF!+#REF!+#REF!+#REF!+#REF!+#REF!+#REF!</f>
        <v>#REF!</v>
      </c>
      <c r="AC17" s="647" t="e">
        <f>#REF!+#REF!+#REF!+#REF!+#REF!+#REF!+#REF!+#REF!+#REF!</f>
        <v>#REF!</v>
      </c>
      <c r="AD17" s="647" t="e">
        <f>#REF!+#REF!+#REF!+#REF!+#REF!+#REF!+#REF!+#REF!+#REF!</f>
        <v>#REF!</v>
      </c>
      <c r="AE17" s="647" t="e">
        <f>#REF!+#REF!+#REF!+#REF!+#REF!+#REF!+#REF!+#REF!+#REF!</f>
        <v>#REF!</v>
      </c>
      <c r="AF17" s="647" t="e">
        <f>#REF!+#REF!+#REF!+#REF!+#REF!+#REF!+#REF!+#REF!+#REF!</f>
        <v>#REF!</v>
      </c>
      <c r="AG17" s="648" t="e">
        <f>#REF!+#REF!+#REF!+#REF!+#REF!+#REF!</f>
        <v>#REF!</v>
      </c>
      <c r="AH17" s="648" t="e">
        <f>#REF!+#REF!+#REF!+#REF!+#REF!+#REF!</f>
        <v>#REF!</v>
      </c>
      <c r="AI17" s="648" t="e">
        <f>#REF!+#REF!+#REF!+#REF!+#REF!+#REF!</f>
        <v>#REF!</v>
      </c>
      <c r="AJ17" s="631" t="e">
        <f t="shared" si="3"/>
        <v>#REF!</v>
      </c>
      <c r="AK17" s="632" t="e">
        <f t="shared" si="4"/>
        <v>#REF!</v>
      </c>
    </row>
    <row r="18" spans="1:37" s="649" customFormat="1" ht="13.5" hidden="1">
      <c r="A18" s="637" t="s">
        <v>81</v>
      </c>
      <c r="B18" s="646" t="s">
        <v>182</v>
      </c>
      <c r="C18" s="642" t="s">
        <v>69</v>
      </c>
      <c r="D18" s="650" t="e">
        <f>+D43+#REF!+#REF!+#REF!+#REF!+#REF!+#REF!+#REF!+#REF!+#REF!+#REF!+#REF!+#REF!+#REF!</f>
        <v>#REF!</v>
      </c>
      <c r="E18" s="650" t="e">
        <f>+E43+#REF!+#REF!+#REF!+#REF!+#REF!+#REF!+#REF!+#REF!+#REF!+#REF!+#REF!+#REF!+#REF!</f>
        <v>#REF!</v>
      </c>
      <c r="F18" s="650" t="e">
        <f>+F43+#REF!+#REF!+#REF!+#REF!+#REF!+#REF!+#REF!+#REF!+#REF!+#REF!+#REF!+#REF!+#REF!</f>
        <v>#REF!</v>
      </c>
      <c r="G18" s="650" t="e">
        <f>+G43+#REF!+#REF!+#REF!+#REF!+#REF!+#REF!+#REF!+#REF!+#REF!+#REF!+#REF!+#REF!+#REF!</f>
        <v>#REF!</v>
      </c>
      <c r="H18" s="650" t="e">
        <f>+H43+#REF!+#REF!+#REF!+#REF!+#REF!+#REF!+#REF!+#REF!+#REF!+#REF!+#REF!+#REF!+#REF!</f>
        <v>#REF!</v>
      </c>
      <c r="I18" s="650" t="e">
        <f>+I43+#REF!+#REF!+#REF!+#REF!+#REF!+#REF!+#REF!+#REF!+#REF!+#REF!+#REF!+#REF!+#REF!</f>
        <v>#REF!</v>
      </c>
      <c r="J18" s="650"/>
      <c r="K18" s="650"/>
      <c r="L18" s="650"/>
      <c r="M18" s="650"/>
      <c r="N18" s="650"/>
      <c r="O18" s="650"/>
      <c r="P18" s="650" t="e">
        <f>+P43+#REF!+#REF!+#REF!+#REF!+#REF!+#REF!+#REF!+#REF!+#REF!+#REF!+#REF!+#REF!+#REF!</f>
        <v>#REF!</v>
      </c>
      <c r="Q18" s="650" t="e">
        <f>+Q43+#REF!+#REF!+#REF!+#REF!+#REF!+#REF!+#REF!+#REF!+#REF!+#REF!+#REF!+#REF!+#REF!</f>
        <v>#REF!</v>
      </c>
      <c r="R18" s="650" t="e">
        <f>+R43+#REF!+#REF!+#REF!+#REF!+#REF!+#REF!+#REF!+#REF!+#REF!+#REF!+#REF!+#REF!+#REF!</f>
        <v>#REF!</v>
      </c>
      <c r="S18" s="650" t="e">
        <f>+S43+#REF!+#REF!+#REF!+#REF!+#REF!+#REF!+#REF!+#REF!+#REF!+#REF!+#REF!+#REF!+#REF!</f>
        <v>#REF!</v>
      </c>
      <c r="T18" s="650" t="e">
        <f>+T43+#REF!+#REF!+#REF!+#REF!+#REF!+#REF!+#REF!+#REF!+#REF!+#REF!+#REF!+#REF!+#REF!</f>
        <v>#REF!</v>
      </c>
      <c r="U18" s="650" t="e">
        <f>+U43+#REF!+#REF!+#REF!+#REF!+#REF!+#REF!+#REF!+#REF!+#REF!+#REF!+#REF!+#REF!+#REF!</f>
        <v>#REF!</v>
      </c>
      <c r="V18" s="650" t="e">
        <f>+V43+#REF!+#REF!+#REF!+#REF!+#REF!+#REF!+#REF!+#REF!+#REF!+#REF!+#REF!+#REF!+#REF!</f>
        <v>#REF!</v>
      </c>
      <c r="W18" s="650" t="e">
        <f>+W43+#REF!+#REF!+#REF!+#REF!+#REF!+#REF!+#REF!+#REF!+#REF!+#REF!+#REF!+#REF!+#REF!</f>
        <v>#REF!</v>
      </c>
      <c r="X18" s="650"/>
      <c r="Y18" s="650" t="e">
        <f>+Y43+#REF!+#REF!+#REF!+#REF!+#REF!+#REF!+#REF!+#REF!+#REF!+#REF!+#REF!+#REF!+#REF!</f>
        <v>#REF!</v>
      </c>
      <c r="Z18" s="650" t="e">
        <f>+Z43+#REF!+#REF!+#REF!+#REF!+#REF!+#REF!+#REF!+#REF!+#REF!+#REF!+#REF!+#REF!+#REF!</f>
        <v>#REF!</v>
      </c>
      <c r="AA18" s="650" t="e">
        <f>+AA43+#REF!+#REF!+#REF!+#REF!+#REF!+#REF!+#REF!+#REF!+#REF!+#REF!+#REF!+#REF!+#REF!</f>
        <v>#REF!</v>
      </c>
      <c r="AB18" s="650" t="e">
        <f>+AB43+#REF!+#REF!+#REF!+#REF!+#REF!+#REF!+#REF!+#REF!+#REF!+#REF!+#REF!+#REF!+#REF!</f>
        <v>#REF!</v>
      </c>
      <c r="AC18" s="650" t="e">
        <f>+AC43+#REF!+#REF!+#REF!+#REF!+#REF!+#REF!+#REF!+#REF!+#REF!+#REF!+#REF!+#REF!+#REF!</f>
        <v>#REF!</v>
      </c>
      <c r="AD18" s="650" t="e">
        <f>+AD43+#REF!+#REF!+#REF!+#REF!+#REF!+#REF!+#REF!+#REF!+#REF!+#REF!+#REF!+#REF!+#REF!</f>
        <v>#REF!</v>
      </c>
      <c r="AE18" s="650" t="e">
        <f>+AE43+#REF!+#REF!+#REF!+#REF!+#REF!+#REF!+#REF!+#REF!+#REF!+#REF!+#REF!+#REF!+#REF!</f>
        <v>#REF!</v>
      </c>
      <c r="AF18" s="650" t="e">
        <f>+AF43+#REF!+#REF!+#REF!+#REF!+#REF!+#REF!+#REF!+#REF!+#REF!+#REF!+#REF!+#REF!+#REF!</f>
        <v>#REF!</v>
      </c>
      <c r="AG18" s="648" t="e">
        <f>+AG43+#REF!+#REF!+#REF!+#REF!+#REF!+#REF!+#REF!+#REF!+#REF!+#REF!</f>
        <v>#REF!</v>
      </c>
      <c r="AH18" s="648" t="e">
        <f>+AH43+#REF!+#REF!+#REF!+#REF!+#REF!+#REF!+#REF!+#REF!+#REF!+#REF!</f>
        <v>#REF!</v>
      </c>
      <c r="AI18" s="648" t="e">
        <f>+AI43+#REF!+#REF!+#REF!+#REF!+#REF!+#REF!+#REF!+#REF!+#REF!+#REF!</f>
        <v>#REF!</v>
      </c>
      <c r="AJ18" s="631" t="e">
        <f t="shared" si="3"/>
        <v>#REF!</v>
      </c>
      <c r="AK18" s="632" t="e">
        <f t="shared" si="4"/>
        <v>#REF!</v>
      </c>
    </row>
    <row r="19" spans="1:37" s="641" customFormat="1" ht="13.5" hidden="1">
      <c r="A19" s="635">
        <v>2</v>
      </c>
      <c r="B19" s="636" t="s">
        <v>34</v>
      </c>
      <c r="C19" s="642" t="s">
        <v>71</v>
      </c>
      <c r="D19" s="643" t="e">
        <f>D44+#REF!+#REF!+#REF!</f>
        <v>#REF!</v>
      </c>
      <c r="E19" s="643" t="e">
        <f>E44+#REF!+#REF!+#REF!</f>
        <v>#REF!</v>
      </c>
      <c r="F19" s="643" t="e">
        <f>F44+#REF!+#REF!+#REF!</f>
        <v>#REF!</v>
      </c>
      <c r="G19" s="643" t="e">
        <f>G44+#REF!+#REF!+#REF!</f>
        <v>#REF!</v>
      </c>
      <c r="H19" s="643" t="e">
        <f>H44+#REF!+#REF!+#REF!</f>
        <v>#REF!</v>
      </c>
      <c r="I19" s="643" t="e">
        <f>I44+#REF!+#REF!+#REF!</f>
        <v>#REF!</v>
      </c>
      <c r="J19" s="643"/>
      <c r="K19" s="643"/>
      <c r="L19" s="643"/>
      <c r="M19" s="643"/>
      <c r="N19" s="643"/>
      <c r="O19" s="643"/>
      <c r="P19" s="643" t="e">
        <f>P44+#REF!+#REF!+#REF!</f>
        <v>#REF!</v>
      </c>
      <c r="Q19" s="643" t="e">
        <f>Q44+#REF!+#REF!+#REF!</f>
        <v>#REF!</v>
      </c>
      <c r="R19" s="643" t="e">
        <f>R44+#REF!+#REF!+#REF!</f>
        <v>#REF!</v>
      </c>
      <c r="S19" s="643" t="e">
        <f>S44+#REF!+#REF!+#REF!</f>
        <v>#REF!</v>
      </c>
      <c r="T19" s="643" t="e">
        <f>T44+#REF!+#REF!+#REF!</f>
        <v>#REF!</v>
      </c>
      <c r="U19" s="643" t="e">
        <f>U44+#REF!+#REF!+#REF!</f>
        <v>#REF!</v>
      </c>
      <c r="V19" s="643" t="e">
        <f>V44+#REF!+#REF!+#REF!</f>
        <v>#REF!</v>
      </c>
      <c r="W19" s="643" t="e">
        <f>W44+#REF!+#REF!+#REF!</f>
        <v>#REF!</v>
      </c>
      <c r="X19" s="643"/>
      <c r="Y19" s="643" t="e">
        <f>Y44+#REF!+#REF!+#REF!</f>
        <v>#REF!</v>
      </c>
      <c r="Z19" s="643" t="e">
        <f>Z44+#REF!+#REF!+#REF!</f>
        <v>#REF!</v>
      </c>
      <c r="AA19" s="643" t="e">
        <f>AA44+#REF!+#REF!+#REF!</f>
        <v>#REF!</v>
      </c>
      <c r="AB19" s="643" t="e">
        <f>AB44+#REF!+#REF!+#REF!</f>
        <v>#REF!</v>
      </c>
      <c r="AC19" s="643" t="e">
        <f>AC44+#REF!+#REF!+#REF!</f>
        <v>#REF!</v>
      </c>
      <c r="AD19" s="643" t="e">
        <f>AD44+#REF!+#REF!+#REF!</f>
        <v>#REF!</v>
      </c>
      <c r="AE19" s="643" t="e">
        <f>AE44+#REF!+#REF!+#REF!</f>
        <v>#REF!</v>
      </c>
      <c r="AF19" s="643" t="e">
        <f>AF44+#REF!+#REF!+#REF!</f>
        <v>#REF!</v>
      </c>
      <c r="AG19" s="644"/>
      <c r="AH19" s="645" t="e">
        <f>E19-F19-Y19-Z19-AE19-AF19</f>
        <v>#REF!</v>
      </c>
      <c r="AJ19" s="631" t="e">
        <f t="shared" si="3"/>
        <v>#REF!</v>
      </c>
      <c r="AK19" s="632" t="e">
        <f t="shared" si="4"/>
        <v>#REF!</v>
      </c>
    </row>
    <row r="20" spans="1:37" s="641" customFormat="1" ht="13.5" hidden="1">
      <c r="A20" s="635">
        <v>3</v>
      </c>
      <c r="B20" s="636" t="s">
        <v>75</v>
      </c>
      <c r="C20" s="642"/>
      <c r="D20" s="643" t="e">
        <f>+D21+D22+D23</f>
        <v>#REF!</v>
      </c>
      <c r="E20" s="643" t="e">
        <f>+E21+E22+E23</f>
        <v>#REF!</v>
      </c>
      <c r="F20" s="643" t="e">
        <f t="shared" ref="F20:AF20" si="5">+F21+F22+F23</f>
        <v>#REF!</v>
      </c>
      <c r="G20" s="643" t="e">
        <f t="shared" si="5"/>
        <v>#REF!</v>
      </c>
      <c r="H20" s="643" t="e">
        <f t="shared" si="5"/>
        <v>#REF!</v>
      </c>
      <c r="I20" s="643" t="e">
        <f t="shared" si="5"/>
        <v>#REF!</v>
      </c>
      <c r="J20" s="643"/>
      <c r="K20" s="643"/>
      <c r="L20" s="643"/>
      <c r="M20" s="643"/>
      <c r="N20" s="643"/>
      <c r="O20" s="643"/>
      <c r="P20" s="643" t="e">
        <f t="shared" si="5"/>
        <v>#REF!</v>
      </c>
      <c r="Q20" s="643" t="e">
        <f t="shared" si="5"/>
        <v>#REF!</v>
      </c>
      <c r="R20" s="643" t="e">
        <f t="shared" si="5"/>
        <v>#REF!</v>
      </c>
      <c r="S20" s="643" t="e">
        <f t="shared" si="5"/>
        <v>#REF!</v>
      </c>
      <c r="T20" s="643" t="e">
        <f t="shared" si="5"/>
        <v>#REF!</v>
      </c>
      <c r="U20" s="643" t="e">
        <f t="shared" si="5"/>
        <v>#REF!</v>
      </c>
      <c r="V20" s="643" t="e">
        <f t="shared" si="5"/>
        <v>#REF!</v>
      </c>
      <c r="W20" s="643" t="e">
        <f t="shared" si="5"/>
        <v>#REF!</v>
      </c>
      <c r="X20" s="643"/>
      <c r="Y20" s="643" t="e">
        <f t="shared" si="5"/>
        <v>#REF!</v>
      </c>
      <c r="Z20" s="643" t="e">
        <f t="shared" si="5"/>
        <v>#REF!</v>
      </c>
      <c r="AA20" s="643" t="e">
        <f t="shared" si="5"/>
        <v>#REF!</v>
      </c>
      <c r="AB20" s="643" t="e">
        <f t="shared" si="5"/>
        <v>#REF!</v>
      </c>
      <c r="AC20" s="643" t="e">
        <f t="shared" si="5"/>
        <v>#REF!</v>
      </c>
      <c r="AD20" s="643" t="e">
        <f t="shared" si="5"/>
        <v>#REF!</v>
      </c>
      <c r="AE20" s="643" t="e">
        <f t="shared" si="5"/>
        <v>#REF!</v>
      </c>
      <c r="AF20" s="643" t="e">
        <f t="shared" si="5"/>
        <v>#REF!</v>
      </c>
      <c r="AG20" s="644"/>
      <c r="AH20" s="645" t="e">
        <f>E20-F20-Y20-Z20-AE20-AF20</f>
        <v>#REF!</v>
      </c>
      <c r="AJ20" s="632" t="e">
        <f t="shared" si="3"/>
        <v>#REF!</v>
      </c>
      <c r="AK20" s="632" t="e">
        <f t="shared" si="4"/>
        <v>#REF!</v>
      </c>
    </row>
    <row r="21" spans="1:37" s="649" customFormat="1" ht="13.5" hidden="1">
      <c r="A21" s="637" t="s">
        <v>81</v>
      </c>
      <c r="B21" s="646" t="s">
        <v>711</v>
      </c>
      <c r="C21" s="642" t="s">
        <v>71</v>
      </c>
      <c r="D21" s="647" t="e">
        <f>+D46+#REF!+#REF!+D83+#REF!+#REF!+#REF!+#REF!+#REF!+#REF!+#REF!</f>
        <v>#REF!</v>
      </c>
      <c r="E21" s="647" t="e">
        <f>+E46+#REF!+#REF!+E83+#REF!+#REF!+#REF!+#REF!+#REF!+#REF!+#REF!</f>
        <v>#REF!</v>
      </c>
      <c r="F21" s="647" t="e">
        <f>+F46+#REF!+#REF!+F83+#REF!+#REF!+#REF!+#REF!+#REF!+#REF!+#REF!</f>
        <v>#REF!</v>
      </c>
      <c r="G21" s="647" t="e">
        <f>+G46+#REF!+#REF!+G83+#REF!+#REF!+#REF!+#REF!+#REF!+#REF!+#REF!</f>
        <v>#REF!</v>
      </c>
      <c r="H21" s="647" t="e">
        <f>+H46+#REF!+#REF!+H83+#REF!+#REF!+#REF!+#REF!+#REF!+#REF!+#REF!</f>
        <v>#REF!</v>
      </c>
      <c r="I21" s="647" t="e">
        <f>+I46+#REF!+#REF!+I83+#REF!+#REF!+#REF!+#REF!+#REF!+#REF!+#REF!</f>
        <v>#REF!</v>
      </c>
      <c r="J21" s="647"/>
      <c r="K21" s="647"/>
      <c r="L21" s="647"/>
      <c r="M21" s="647"/>
      <c r="N21" s="647"/>
      <c r="O21" s="647"/>
      <c r="P21" s="647" t="e">
        <f>+P46+#REF!+#REF!+P83+#REF!+#REF!+#REF!+#REF!+#REF!+#REF!+#REF!</f>
        <v>#REF!</v>
      </c>
      <c r="Q21" s="647" t="e">
        <f>+Q46+#REF!+#REF!+Q83+#REF!+#REF!+#REF!+#REF!+#REF!+#REF!+#REF!</f>
        <v>#REF!</v>
      </c>
      <c r="R21" s="647" t="e">
        <f>+R46+#REF!+#REF!+R83+#REF!+#REF!+#REF!+#REF!+#REF!+#REF!+#REF!</f>
        <v>#REF!</v>
      </c>
      <c r="S21" s="647" t="e">
        <f>+S46+#REF!+#REF!+S83+#REF!+#REF!+#REF!+#REF!+#REF!+#REF!+#REF!</f>
        <v>#REF!</v>
      </c>
      <c r="T21" s="647" t="e">
        <f>+T46+#REF!+#REF!+T83+#REF!+#REF!+#REF!+#REF!+#REF!+#REF!+#REF!</f>
        <v>#REF!</v>
      </c>
      <c r="U21" s="647" t="e">
        <f>+U46+#REF!+#REF!+U83+#REF!+#REF!+#REF!+#REF!+#REF!+#REF!+#REF!</f>
        <v>#REF!</v>
      </c>
      <c r="V21" s="647" t="e">
        <f>+V46+#REF!+#REF!+V83+#REF!+#REF!+#REF!+#REF!+#REF!+#REF!+#REF!</f>
        <v>#REF!</v>
      </c>
      <c r="W21" s="647" t="e">
        <f>+W46+#REF!+#REF!+W83+#REF!+#REF!+#REF!+#REF!+#REF!+#REF!+#REF!</f>
        <v>#REF!</v>
      </c>
      <c r="X21" s="647"/>
      <c r="Y21" s="647" t="e">
        <f>+Y46+#REF!+#REF!+Y83+#REF!+#REF!+#REF!+#REF!+#REF!+#REF!+#REF!</f>
        <v>#REF!</v>
      </c>
      <c r="Z21" s="647" t="e">
        <f>+Z46+#REF!+#REF!+Z83+#REF!+#REF!+#REF!+#REF!+#REF!+#REF!+#REF!</f>
        <v>#REF!</v>
      </c>
      <c r="AA21" s="647" t="e">
        <f>+AA46+#REF!+#REF!+AA83+#REF!+#REF!+#REF!+#REF!+#REF!+#REF!+#REF!</f>
        <v>#REF!</v>
      </c>
      <c r="AB21" s="647" t="e">
        <f>+AB46+#REF!+#REF!+AB83+#REF!+#REF!+#REF!+#REF!+#REF!+#REF!+#REF!</f>
        <v>#REF!</v>
      </c>
      <c r="AC21" s="647" t="e">
        <f>+AC46+#REF!+#REF!+AC83+#REF!+#REF!+#REF!+#REF!+#REF!+#REF!+#REF!</f>
        <v>#REF!</v>
      </c>
      <c r="AD21" s="647" t="e">
        <f>+AD46+#REF!+#REF!+AD83+#REF!+#REF!+#REF!+#REF!+#REF!+#REF!+#REF!</f>
        <v>#REF!</v>
      </c>
      <c r="AE21" s="647" t="e">
        <f>+AE46+#REF!+#REF!+AE83+#REF!+#REF!+#REF!+#REF!+#REF!+#REF!+#REF!</f>
        <v>#REF!</v>
      </c>
      <c r="AF21" s="647" t="e">
        <f>+AF46+#REF!+#REF!+AF83+#REF!+#REF!+#REF!+#REF!+#REF!+#REF!+#REF!</f>
        <v>#REF!</v>
      </c>
      <c r="AG21" s="648" t="e">
        <f>+AG46+#REF!+#REF!+AG83+#REF!+#REF!+#REF!+#REF!+#REF!+#REF!</f>
        <v>#REF!</v>
      </c>
      <c r="AH21" s="648" t="e">
        <f>+AH46+#REF!+#REF!+AH83+#REF!+#REF!+#REF!+#REF!+#REF!+#REF!</f>
        <v>#REF!</v>
      </c>
      <c r="AI21" s="648" t="e">
        <f>+AI46+#REF!+#REF!+AI83+#REF!+#REF!+#REF!+#REF!+#REF!+#REF!</f>
        <v>#REF!</v>
      </c>
      <c r="AJ21" s="632" t="e">
        <f t="shared" si="3"/>
        <v>#REF!</v>
      </c>
      <c r="AK21" s="632" t="e">
        <f t="shared" si="4"/>
        <v>#REF!</v>
      </c>
    </row>
    <row r="22" spans="1:37" s="649" customFormat="1" ht="13.5" hidden="1">
      <c r="A22" s="637" t="s">
        <v>81</v>
      </c>
      <c r="B22" s="646" t="s">
        <v>712</v>
      </c>
      <c r="C22" s="642" t="s">
        <v>71</v>
      </c>
      <c r="D22" s="647" t="e">
        <f>+D57+#REF!+#REF!+#REF!+#REF!+#REF!+#REF!+#REF!+D87+#REF!+#REF!+#REF!+#REF!+#REF!+#REF!</f>
        <v>#REF!</v>
      </c>
      <c r="E22" s="647" t="e">
        <f>+E57+#REF!+#REF!+#REF!+#REF!+#REF!+#REF!+#REF!+E87+#REF!+#REF!+#REF!+#REF!+#REF!+#REF!</f>
        <v>#REF!</v>
      </c>
      <c r="F22" s="647" t="e">
        <f>+F57+#REF!+#REF!+#REF!+#REF!+#REF!+#REF!+#REF!+F87+#REF!+#REF!+#REF!+#REF!+#REF!+#REF!</f>
        <v>#REF!</v>
      </c>
      <c r="G22" s="647" t="e">
        <f>+G57+#REF!+#REF!+#REF!+#REF!+#REF!+#REF!+#REF!+G87+#REF!+#REF!+#REF!+#REF!+#REF!+#REF!</f>
        <v>#REF!</v>
      </c>
      <c r="H22" s="647" t="e">
        <f>+H57+#REF!+#REF!+#REF!+#REF!+#REF!+#REF!+#REF!+H87+#REF!+#REF!+#REF!+#REF!+#REF!+#REF!</f>
        <v>#REF!</v>
      </c>
      <c r="I22" s="647" t="e">
        <f>+I57+#REF!+#REF!+#REF!+#REF!+#REF!+#REF!+#REF!+I87+#REF!+#REF!+#REF!+#REF!+#REF!+#REF!</f>
        <v>#REF!</v>
      </c>
      <c r="J22" s="647"/>
      <c r="K22" s="647"/>
      <c r="L22" s="647"/>
      <c r="M22" s="647"/>
      <c r="N22" s="647"/>
      <c r="O22" s="647"/>
      <c r="P22" s="647" t="e">
        <f>+P57+#REF!+#REF!+#REF!+#REF!+#REF!+#REF!+#REF!+P87+#REF!+#REF!+#REF!+#REF!+#REF!+#REF!</f>
        <v>#REF!</v>
      </c>
      <c r="Q22" s="647" t="e">
        <f>+Q57+#REF!+#REF!+#REF!+#REF!+#REF!+#REF!+#REF!+Q87+#REF!+#REF!+#REF!+#REF!+#REF!+#REF!</f>
        <v>#REF!</v>
      </c>
      <c r="R22" s="647" t="e">
        <f>+R57+#REF!+#REF!+#REF!+#REF!+#REF!+#REF!+#REF!+R87+#REF!+#REF!+#REF!+#REF!+#REF!+#REF!</f>
        <v>#REF!</v>
      </c>
      <c r="S22" s="647" t="e">
        <f>+S57+#REF!+#REF!+#REF!+#REF!+#REF!+#REF!+#REF!+S87+#REF!+#REF!+#REF!+#REF!+#REF!+#REF!</f>
        <v>#REF!</v>
      </c>
      <c r="T22" s="647" t="e">
        <f>+T57+#REF!+#REF!+#REF!+#REF!+#REF!+#REF!+#REF!+T87+#REF!+#REF!+#REF!+#REF!+#REF!+#REF!</f>
        <v>#REF!</v>
      </c>
      <c r="U22" s="647" t="e">
        <f>+U57+#REF!+#REF!+#REF!+#REF!+#REF!+#REF!+#REF!+U87+#REF!+#REF!+#REF!+#REF!+#REF!+#REF!</f>
        <v>#REF!</v>
      </c>
      <c r="V22" s="647" t="e">
        <f>+V57+#REF!+#REF!+#REF!+#REF!+#REF!+#REF!+#REF!+V87+#REF!+#REF!+#REF!+#REF!+#REF!+#REF!</f>
        <v>#REF!</v>
      </c>
      <c r="W22" s="647" t="e">
        <f>+W57+#REF!+#REF!+#REF!+#REF!+#REF!+#REF!+#REF!+W87+#REF!+#REF!+#REF!+#REF!+#REF!+#REF!</f>
        <v>#REF!</v>
      </c>
      <c r="X22" s="647"/>
      <c r="Y22" s="647" t="e">
        <f>+Y57+#REF!+#REF!+#REF!+#REF!+#REF!+#REF!+#REF!+Y87+#REF!+#REF!+#REF!+#REF!+#REF!+#REF!</f>
        <v>#REF!</v>
      </c>
      <c r="Z22" s="647" t="e">
        <f>+Z57+#REF!+#REF!+#REF!+#REF!+#REF!+#REF!+#REF!+Z87+#REF!+#REF!+#REF!+#REF!+#REF!+#REF!</f>
        <v>#REF!</v>
      </c>
      <c r="AA22" s="647" t="e">
        <f>+AA57+#REF!+#REF!+#REF!+#REF!+#REF!+#REF!+#REF!+AA87+#REF!+#REF!+#REF!+#REF!+#REF!+#REF!</f>
        <v>#REF!</v>
      </c>
      <c r="AB22" s="647" t="e">
        <f>+AB57+#REF!+#REF!+#REF!+#REF!+#REF!+#REF!+#REF!+AB87+#REF!+#REF!+#REF!+#REF!+#REF!+#REF!</f>
        <v>#REF!</v>
      </c>
      <c r="AC22" s="647" t="e">
        <f>+AC57+#REF!+#REF!+#REF!+#REF!+#REF!+#REF!+#REF!+AC87+#REF!+#REF!+#REF!+#REF!+#REF!+#REF!</f>
        <v>#REF!</v>
      </c>
      <c r="AD22" s="647" t="e">
        <f>+AD57+#REF!+#REF!+#REF!+#REF!+#REF!+#REF!+#REF!+AD87+#REF!+#REF!+#REF!+#REF!+#REF!+#REF!</f>
        <v>#REF!</v>
      </c>
      <c r="AE22" s="647" t="e">
        <f>+AE57+#REF!+#REF!+#REF!+#REF!+#REF!+#REF!+#REF!+AE87+#REF!+#REF!+#REF!+#REF!+#REF!+#REF!</f>
        <v>#REF!</v>
      </c>
      <c r="AF22" s="647" t="e">
        <f>+AF57+#REF!+#REF!+#REF!+#REF!+#REF!+#REF!+#REF!+AF87+#REF!+#REF!+#REF!+#REF!+#REF!+#REF!</f>
        <v>#REF!</v>
      </c>
      <c r="AG22" s="652"/>
      <c r="AH22" s="629" t="e">
        <f>E22-F22-Y22-Z22-AE22-AF22</f>
        <v>#REF!</v>
      </c>
      <c r="AJ22" s="632" t="e">
        <f t="shared" si="3"/>
        <v>#REF!</v>
      </c>
      <c r="AK22" s="632" t="e">
        <f t="shared" si="4"/>
        <v>#REF!</v>
      </c>
    </row>
    <row r="23" spans="1:37" s="649" customFormat="1" ht="13.5" hidden="1">
      <c r="A23" s="637" t="s">
        <v>81</v>
      </c>
      <c r="B23" s="646" t="s">
        <v>713</v>
      </c>
      <c r="C23" s="642" t="s">
        <v>71</v>
      </c>
      <c r="D23" s="647" t="e">
        <f>+D60+#REF!+#REF!+#REF!+#REF!+#REF!+#REF!+#REF!+#REF!+#REF!+#REF!+#REF!+#REF!+#REF!+#REF!</f>
        <v>#REF!</v>
      </c>
      <c r="E23" s="647" t="e">
        <f>+E60+#REF!+#REF!+#REF!+#REF!+#REF!+#REF!+#REF!+#REF!+#REF!+#REF!+#REF!+#REF!+#REF!+#REF!</f>
        <v>#REF!</v>
      </c>
      <c r="F23" s="647" t="e">
        <f>+F60+#REF!+#REF!+#REF!+#REF!+#REF!+#REF!+#REF!+#REF!+#REF!+#REF!+#REF!+#REF!+#REF!+#REF!</f>
        <v>#REF!</v>
      </c>
      <c r="G23" s="647" t="e">
        <f>+G60+#REF!+#REF!+#REF!+#REF!+#REF!+#REF!+#REF!+#REF!+#REF!+#REF!+#REF!+#REF!+#REF!+#REF!</f>
        <v>#REF!</v>
      </c>
      <c r="H23" s="647" t="e">
        <f>+H60+#REF!+#REF!+#REF!+#REF!+#REF!+#REF!+#REF!+#REF!+#REF!+#REF!+#REF!+#REF!+#REF!+#REF!</f>
        <v>#REF!</v>
      </c>
      <c r="I23" s="647" t="e">
        <f>+I60+#REF!+#REF!+#REF!+#REF!+#REF!+#REF!+#REF!+#REF!+#REF!+#REF!+#REF!+#REF!+#REF!+#REF!</f>
        <v>#REF!</v>
      </c>
      <c r="J23" s="647"/>
      <c r="K23" s="647"/>
      <c r="L23" s="647"/>
      <c r="M23" s="647"/>
      <c r="N23" s="647"/>
      <c r="O23" s="647"/>
      <c r="P23" s="647" t="e">
        <f>+P60+#REF!+#REF!+#REF!+#REF!+#REF!+#REF!+#REF!+#REF!+#REF!+#REF!+#REF!+#REF!+#REF!+#REF!</f>
        <v>#REF!</v>
      </c>
      <c r="Q23" s="647" t="e">
        <f>+Q60+#REF!+#REF!+#REF!+#REF!+#REF!+#REF!+#REF!+#REF!+#REF!+#REF!+#REF!+#REF!+#REF!+#REF!</f>
        <v>#REF!</v>
      </c>
      <c r="R23" s="647" t="e">
        <f>+R60+#REF!+#REF!+#REF!+#REF!+#REF!+#REF!+#REF!+#REF!+#REF!+#REF!+#REF!+#REF!+#REF!+#REF!</f>
        <v>#REF!</v>
      </c>
      <c r="S23" s="647" t="e">
        <f>+S60+#REF!+#REF!+#REF!+#REF!+#REF!+#REF!+#REF!+#REF!+#REF!+#REF!+#REF!+#REF!+#REF!+#REF!</f>
        <v>#REF!</v>
      </c>
      <c r="T23" s="647" t="e">
        <f>+T60+#REF!+#REF!+#REF!+#REF!+#REF!+#REF!+#REF!+#REF!+#REF!+#REF!+#REF!+#REF!+#REF!+#REF!</f>
        <v>#REF!</v>
      </c>
      <c r="U23" s="647" t="e">
        <f>+U60+#REF!+#REF!+#REF!+#REF!+#REF!+#REF!+#REF!+#REF!+#REF!+#REF!+#REF!+#REF!+#REF!+#REF!</f>
        <v>#REF!</v>
      </c>
      <c r="V23" s="647" t="e">
        <f>+V60+#REF!+#REF!+#REF!+#REF!+#REF!+#REF!+#REF!+#REF!+#REF!+#REF!+#REF!+#REF!+#REF!+#REF!</f>
        <v>#REF!</v>
      </c>
      <c r="W23" s="647" t="e">
        <f>+W60+#REF!+#REF!+#REF!+#REF!+#REF!+#REF!+#REF!+#REF!+#REF!+#REF!+#REF!+#REF!+#REF!+#REF!</f>
        <v>#REF!</v>
      </c>
      <c r="X23" s="647"/>
      <c r="Y23" s="647" t="e">
        <f>+Y60+#REF!+#REF!+#REF!+#REF!+#REF!+#REF!+#REF!+#REF!+#REF!+#REF!+#REF!+#REF!+#REF!+#REF!</f>
        <v>#REF!</v>
      </c>
      <c r="Z23" s="647" t="e">
        <f>+Z60+#REF!+#REF!+#REF!+#REF!+#REF!+#REF!+#REF!+#REF!+#REF!+#REF!+#REF!+#REF!+#REF!+#REF!</f>
        <v>#REF!</v>
      </c>
      <c r="AA23" s="647" t="e">
        <f>+AA60+#REF!+#REF!+#REF!+#REF!+#REF!+#REF!+#REF!+#REF!+#REF!+#REF!+#REF!+#REF!+#REF!+#REF!</f>
        <v>#REF!</v>
      </c>
      <c r="AB23" s="647" t="e">
        <f>+AB60+#REF!+#REF!+#REF!+#REF!+#REF!+#REF!+#REF!+#REF!+#REF!+#REF!+#REF!+#REF!+#REF!+#REF!</f>
        <v>#REF!</v>
      </c>
      <c r="AC23" s="647" t="e">
        <f>+AC60+#REF!+#REF!+#REF!+#REF!+#REF!+#REF!+#REF!+#REF!+#REF!+#REF!+#REF!+#REF!+#REF!+#REF!</f>
        <v>#REF!</v>
      </c>
      <c r="AD23" s="647" t="e">
        <f>+AD60+#REF!+#REF!+#REF!+#REF!+#REF!+#REF!+#REF!+#REF!+#REF!+#REF!+#REF!+#REF!+#REF!+#REF!</f>
        <v>#REF!</v>
      </c>
      <c r="AE23" s="647" t="e">
        <f>+AE60+#REF!+#REF!+#REF!+#REF!+#REF!+#REF!+#REF!+#REF!+#REF!+#REF!+#REF!+#REF!+#REF!+#REF!</f>
        <v>#REF!</v>
      </c>
      <c r="AF23" s="647" t="e">
        <f>+AF60+#REF!+#REF!+#REF!+#REF!+#REF!+#REF!+#REF!+#REF!+#REF!+#REF!+#REF!+#REF!+#REF!+#REF!</f>
        <v>#REF!</v>
      </c>
      <c r="AG23" s="648" t="e">
        <f>+AG60+#REF!+#REF!+#REF!+#REF!+#REF!+#REF!+#REF!+#REF!+#REF!+#REF!+#REF!+#REF!+#REF!+#REF!</f>
        <v>#REF!</v>
      </c>
      <c r="AH23" s="648" t="e">
        <f>+AH60+#REF!+#REF!+#REF!+#REF!+#REF!+#REF!+#REF!+#REF!+#REF!+#REF!+#REF!+#REF!+#REF!+#REF!</f>
        <v>#REF!</v>
      </c>
      <c r="AI23" s="648" t="e">
        <f>+AI60+#REF!+#REF!+#REF!+#REF!+#REF!+#REF!+#REF!+#REF!+#REF!+#REF!+#REF!+#REF!+#REF!+#REF!</f>
        <v>#REF!</v>
      </c>
      <c r="AJ23" s="632" t="e">
        <f t="shared" si="3"/>
        <v>#REF!</v>
      </c>
      <c r="AK23" s="632" t="e">
        <f t="shared" si="4"/>
        <v>#REF!</v>
      </c>
    </row>
    <row r="24" spans="1:37" s="641" customFormat="1" ht="13.5" hidden="1">
      <c r="A24" s="635">
        <v>4</v>
      </c>
      <c r="B24" s="636" t="s">
        <v>36</v>
      </c>
      <c r="C24" s="653"/>
      <c r="D24" s="643"/>
      <c r="E24" s="643" t="e">
        <f>+E25+E26+E27+E28+E29</f>
        <v>#REF!</v>
      </c>
      <c r="F24" s="643" t="e">
        <f t="shared" ref="F24:AF24" si="6">+F25+F26+F27+F28+F29</f>
        <v>#REF!</v>
      </c>
      <c r="G24" s="643" t="e">
        <f t="shared" si="6"/>
        <v>#REF!</v>
      </c>
      <c r="H24" s="643" t="e">
        <f t="shared" si="6"/>
        <v>#REF!</v>
      </c>
      <c r="I24" s="643" t="e">
        <f t="shared" si="6"/>
        <v>#REF!</v>
      </c>
      <c r="J24" s="643"/>
      <c r="K24" s="643"/>
      <c r="L24" s="643"/>
      <c r="M24" s="643"/>
      <c r="N24" s="643"/>
      <c r="O24" s="643"/>
      <c r="P24" s="643" t="e">
        <f t="shared" si="6"/>
        <v>#REF!</v>
      </c>
      <c r="Q24" s="643" t="e">
        <f t="shared" si="6"/>
        <v>#REF!</v>
      </c>
      <c r="R24" s="643" t="e">
        <f t="shared" si="6"/>
        <v>#REF!</v>
      </c>
      <c r="S24" s="643" t="e">
        <f t="shared" si="6"/>
        <v>#REF!</v>
      </c>
      <c r="T24" s="643" t="e">
        <f t="shared" si="6"/>
        <v>#REF!</v>
      </c>
      <c r="U24" s="643" t="e">
        <f t="shared" si="6"/>
        <v>#REF!</v>
      </c>
      <c r="V24" s="643" t="e">
        <f t="shared" si="6"/>
        <v>#REF!</v>
      </c>
      <c r="W24" s="643" t="e">
        <f t="shared" si="6"/>
        <v>#REF!</v>
      </c>
      <c r="X24" s="643"/>
      <c r="Y24" s="643" t="e">
        <f t="shared" si="6"/>
        <v>#REF!</v>
      </c>
      <c r="Z24" s="643" t="e">
        <f t="shared" si="6"/>
        <v>#REF!</v>
      </c>
      <c r="AA24" s="643" t="e">
        <f t="shared" si="6"/>
        <v>#REF!</v>
      </c>
      <c r="AB24" s="643" t="e">
        <f t="shared" si="6"/>
        <v>#REF!</v>
      </c>
      <c r="AC24" s="643" t="e">
        <f t="shared" si="6"/>
        <v>#REF!</v>
      </c>
      <c r="AD24" s="643" t="e">
        <f t="shared" si="6"/>
        <v>#REF!</v>
      </c>
      <c r="AE24" s="643" t="e">
        <f t="shared" si="6"/>
        <v>#REF!</v>
      </c>
      <c r="AF24" s="643" t="e">
        <f t="shared" si="6"/>
        <v>#REF!</v>
      </c>
      <c r="AG24" s="654"/>
      <c r="AH24" s="655"/>
      <c r="AI24" s="656"/>
      <c r="AJ24" s="631" t="e">
        <f t="shared" si="3"/>
        <v>#REF!</v>
      </c>
      <c r="AK24" s="632" t="e">
        <f t="shared" si="4"/>
        <v>#REF!</v>
      </c>
    </row>
    <row r="25" spans="1:37" s="649" customFormat="1" ht="13.5" hidden="1">
      <c r="A25" s="657" t="s">
        <v>81</v>
      </c>
      <c r="B25" s="646" t="s">
        <v>714</v>
      </c>
      <c r="C25" s="642" t="s">
        <v>71</v>
      </c>
      <c r="D25" s="647" t="e">
        <f>+D66+#REF!+#REF!+#REF!+#REF!+#REF!+D90</f>
        <v>#REF!</v>
      </c>
      <c r="E25" s="647" t="e">
        <f>+E66+#REF!+#REF!+#REF!+#REF!+#REF!+E90</f>
        <v>#REF!</v>
      </c>
      <c r="F25" s="647" t="e">
        <f>+F66+#REF!+#REF!+#REF!+#REF!+#REF!+F90</f>
        <v>#REF!</v>
      </c>
      <c r="G25" s="647" t="e">
        <f>+G66+#REF!+#REF!+#REF!+#REF!+#REF!+G90</f>
        <v>#REF!</v>
      </c>
      <c r="H25" s="647" t="e">
        <f>+H66+#REF!+#REF!+#REF!+#REF!+#REF!+H90</f>
        <v>#REF!</v>
      </c>
      <c r="I25" s="647" t="e">
        <f>+I66+#REF!+#REF!+#REF!+#REF!+#REF!+I90</f>
        <v>#REF!</v>
      </c>
      <c r="J25" s="647"/>
      <c r="K25" s="647"/>
      <c r="L25" s="647"/>
      <c r="M25" s="647"/>
      <c r="N25" s="647"/>
      <c r="O25" s="647"/>
      <c r="P25" s="647" t="e">
        <f>+P66+#REF!+#REF!+#REF!+#REF!+#REF!+P90</f>
        <v>#REF!</v>
      </c>
      <c r="Q25" s="647" t="e">
        <f>+Q66+#REF!+#REF!+#REF!+#REF!+#REF!+Q90</f>
        <v>#REF!</v>
      </c>
      <c r="R25" s="647" t="e">
        <f>+R66+#REF!+#REF!+#REF!+#REF!+#REF!+R90</f>
        <v>#REF!</v>
      </c>
      <c r="S25" s="647" t="e">
        <f>+S66+#REF!+#REF!+#REF!+#REF!+#REF!+S90</f>
        <v>#REF!</v>
      </c>
      <c r="T25" s="647" t="e">
        <f>+T66+#REF!+#REF!+#REF!+#REF!+#REF!+T90</f>
        <v>#REF!</v>
      </c>
      <c r="U25" s="647" t="e">
        <f>+U66+#REF!+#REF!+#REF!+#REF!+#REF!+U90</f>
        <v>#REF!</v>
      </c>
      <c r="V25" s="647" t="e">
        <f>+V66+#REF!+#REF!+#REF!+#REF!+#REF!+V90</f>
        <v>#REF!</v>
      </c>
      <c r="W25" s="647" t="e">
        <f>+W66+#REF!+#REF!+#REF!+#REF!+#REF!+W90</f>
        <v>#REF!</v>
      </c>
      <c r="X25" s="647"/>
      <c r="Y25" s="647" t="e">
        <f>+Y66+#REF!+#REF!+#REF!+#REF!+#REF!+Y90</f>
        <v>#REF!</v>
      </c>
      <c r="Z25" s="647" t="e">
        <f>+Z66+#REF!+#REF!+#REF!+#REF!+#REF!+Z90</f>
        <v>#REF!</v>
      </c>
      <c r="AA25" s="647" t="e">
        <f>+AA66+#REF!+#REF!+#REF!+#REF!+#REF!+AA90</f>
        <v>#REF!</v>
      </c>
      <c r="AB25" s="647" t="e">
        <f>+AB66+#REF!+#REF!+#REF!+#REF!+#REF!+AB90</f>
        <v>#REF!</v>
      </c>
      <c r="AC25" s="647" t="e">
        <f>+AC66+#REF!+#REF!+#REF!+#REF!+#REF!+AC90</f>
        <v>#REF!</v>
      </c>
      <c r="AD25" s="647" t="e">
        <f>+AD66+#REF!+#REF!+#REF!+#REF!+#REF!+AD90</f>
        <v>#REF!</v>
      </c>
      <c r="AE25" s="647" t="e">
        <f>+AE66+#REF!+#REF!+#REF!+#REF!+#REF!+AE90</f>
        <v>#REF!</v>
      </c>
      <c r="AF25" s="647" t="e">
        <f>+AF66+#REF!+#REF!+#REF!+#REF!+#REF!+AF90</f>
        <v>#REF!</v>
      </c>
      <c r="AG25" s="648" t="e">
        <f>+AG66+#REF!+#REF!+#REF!+#REF!+#REF!+AG90</f>
        <v>#REF!</v>
      </c>
      <c r="AH25" s="648" t="e">
        <f>+AH66+#REF!+#REF!+#REF!+#REF!+#REF!+AH90</f>
        <v>#REF!</v>
      </c>
      <c r="AI25" s="648" t="e">
        <f>+AI66+#REF!+#REF!+#REF!+#REF!+#REF!+AI90</f>
        <v>#REF!</v>
      </c>
      <c r="AJ25" s="631" t="e">
        <f t="shared" si="3"/>
        <v>#REF!</v>
      </c>
      <c r="AK25" s="632" t="e">
        <f t="shared" si="4"/>
        <v>#REF!</v>
      </c>
    </row>
    <row r="26" spans="1:37" s="649" customFormat="1" ht="13.5" hidden="1">
      <c r="A26" s="637" t="s">
        <v>81</v>
      </c>
      <c r="B26" s="646" t="s">
        <v>715</v>
      </c>
      <c r="C26" s="642" t="s">
        <v>71</v>
      </c>
      <c r="D26" s="647" t="e">
        <f>+D67+#REF!+#REF!+#REF!+#REF!+#REF!</f>
        <v>#REF!</v>
      </c>
      <c r="E26" s="647" t="e">
        <f>+E67+#REF!+#REF!+#REF!+#REF!+#REF!</f>
        <v>#REF!</v>
      </c>
      <c r="F26" s="647" t="e">
        <f>+F67+#REF!+#REF!+#REF!+#REF!+#REF!</f>
        <v>#REF!</v>
      </c>
      <c r="G26" s="647" t="e">
        <f>+G67+#REF!+#REF!+#REF!+#REF!+#REF!</f>
        <v>#REF!</v>
      </c>
      <c r="H26" s="647" t="e">
        <f>+H67+#REF!+#REF!+#REF!+#REF!+#REF!</f>
        <v>#REF!</v>
      </c>
      <c r="I26" s="647" t="e">
        <f>+I67+#REF!+#REF!+#REF!+#REF!+#REF!</f>
        <v>#REF!</v>
      </c>
      <c r="J26" s="647"/>
      <c r="K26" s="647"/>
      <c r="L26" s="647"/>
      <c r="M26" s="647"/>
      <c r="N26" s="647"/>
      <c r="O26" s="647"/>
      <c r="P26" s="647" t="e">
        <f>+P67+#REF!+#REF!+#REF!+#REF!+#REF!</f>
        <v>#REF!</v>
      </c>
      <c r="Q26" s="647" t="e">
        <f>+Q67+#REF!+#REF!+#REF!+#REF!+#REF!</f>
        <v>#REF!</v>
      </c>
      <c r="R26" s="647" t="e">
        <f>+R67+#REF!+#REF!+#REF!+#REF!+#REF!</f>
        <v>#REF!</v>
      </c>
      <c r="S26" s="647" t="e">
        <f>+S67+#REF!+#REF!+#REF!+#REF!+#REF!</f>
        <v>#REF!</v>
      </c>
      <c r="T26" s="647" t="e">
        <f>+T67+#REF!+#REF!+#REF!+#REF!+#REF!</f>
        <v>#REF!</v>
      </c>
      <c r="U26" s="647" t="e">
        <f>+U67+#REF!+#REF!+#REF!+#REF!+#REF!</f>
        <v>#REF!</v>
      </c>
      <c r="V26" s="647" t="e">
        <f>+V67+#REF!+#REF!+#REF!+#REF!+#REF!</f>
        <v>#REF!</v>
      </c>
      <c r="W26" s="647" t="e">
        <f>+W67+#REF!+#REF!+#REF!+#REF!+#REF!</f>
        <v>#REF!</v>
      </c>
      <c r="X26" s="647"/>
      <c r="Y26" s="647" t="e">
        <f>+Y67+#REF!+#REF!+#REF!+#REF!+#REF!</f>
        <v>#REF!</v>
      </c>
      <c r="Z26" s="647" t="e">
        <f>+Z67+#REF!+#REF!+#REF!+#REF!+#REF!</f>
        <v>#REF!</v>
      </c>
      <c r="AA26" s="647" t="e">
        <f>+AA67+#REF!+#REF!+#REF!+#REF!+#REF!</f>
        <v>#REF!</v>
      </c>
      <c r="AB26" s="647" t="e">
        <f>+AB67+#REF!+#REF!+#REF!+#REF!+#REF!</f>
        <v>#REF!</v>
      </c>
      <c r="AC26" s="647" t="e">
        <f>+AC67+#REF!+#REF!+#REF!+#REF!+#REF!</f>
        <v>#REF!</v>
      </c>
      <c r="AD26" s="647" t="e">
        <f>+AD67+#REF!+#REF!+#REF!+#REF!+#REF!</f>
        <v>#REF!</v>
      </c>
      <c r="AE26" s="647" t="e">
        <f>+AE67+#REF!+#REF!+#REF!+#REF!+#REF!</f>
        <v>#REF!</v>
      </c>
      <c r="AF26" s="647" t="e">
        <f>+AF67+#REF!+#REF!+#REF!+#REF!+#REF!</f>
        <v>#REF!</v>
      </c>
      <c r="AG26" s="658" t="e">
        <f>AG67+#REF!+#REF!+#REF!+#REF!+#REF!</f>
        <v>#REF!</v>
      </c>
      <c r="AH26" s="658" t="e">
        <f>AH67+#REF!+#REF!+#REF!+#REF!+#REF!</f>
        <v>#REF!</v>
      </c>
      <c r="AI26" s="658" t="e">
        <f>AI67+#REF!+#REF!+#REF!+#REF!+#REF!</f>
        <v>#REF!</v>
      </c>
      <c r="AJ26" s="631" t="e">
        <f t="shared" si="3"/>
        <v>#REF!</v>
      </c>
      <c r="AK26" s="632" t="e">
        <f t="shared" si="4"/>
        <v>#REF!</v>
      </c>
    </row>
    <row r="27" spans="1:37" s="649" customFormat="1" ht="13.5" hidden="1">
      <c r="A27" s="637" t="s">
        <v>81</v>
      </c>
      <c r="B27" s="646" t="s">
        <v>716</v>
      </c>
      <c r="C27" s="642" t="s">
        <v>71</v>
      </c>
      <c r="D27" s="647" t="e">
        <f>D68+#REF!++#REF!+#REF!+#REF!+#REF!+#REF!+#REF!+#REF!+#REF!+D91+D92</f>
        <v>#REF!</v>
      </c>
      <c r="E27" s="647" t="e">
        <f>E68+#REF!++#REF!+#REF!+#REF!+#REF!+#REF!+#REF!+#REF!+#REF!+E91+E92</f>
        <v>#REF!</v>
      </c>
      <c r="F27" s="647" t="e">
        <f>F68+#REF!++#REF!+#REF!+#REF!+#REF!+#REF!+#REF!+#REF!+#REF!+F91+F92</f>
        <v>#REF!</v>
      </c>
      <c r="G27" s="647" t="e">
        <f>G68+#REF!++#REF!+#REF!+#REF!+#REF!+#REF!+#REF!+#REF!+#REF!+G91+G92</f>
        <v>#REF!</v>
      </c>
      <c r="H27" s="647" t="e">
        <f>H68+#REF!++#REF!+#REF!+#REF!+#REF!+#REF!+#REF!+#REF!+#REF!+H91+H92</f>
        <v>#REF!</v>
      </c>
      <c r="I27" s="647" t="e">
        <f>I68+#REF!++#REF!+#REF!+#REF!+#REF!+#REF!+#REF!+#REF!+#REF!+I91+I92</f>
        <v>#REF!</v>
      </c>
      <c r="J27" s="647"/>
      <c r="K27" s="647"/>
      <c r="L27" s="647"/>
      <c r="M27" s="647"/>
      <c r="N27" s="647"/>
      <c r="O27" s="647"/>
      <c r="P27" s="647" t="e">
        <f>P68+#REF!++#REF!+#REF!+#REF!+#REF!+#REF!+#REF!+#REF!+#REF!+P91+P92</f>
        <v>#REF!</v>
      </c>
      <c r="Q27" s="647" t="e">
        <f>Q68+#REF!++#REF!+#REF!+#REF!+#REF!+#REF!+#REF!+#REF!+#REF!+Q91+Q92</f>
        <v>#REF!</v>
      </c>
      <c r="R27" s="647" t="e">
        <f>R68+#REF!++#REF!+#REF!+#REF!+#REF!+#REF!+#REF!+#REF!+#REF!+R91+R92</f>
        <v>#REF!</v>
      </c>
      <c r="S27" s="647" t="e">
        <f>S68+#REF!++#REF!+#REF!+#REF!+#REF!+#REF!+#REF!+#REF!+#REF!+S91+S92</f>
        <v>#REF!</v>
      </c>
      <c r="T27" s="647" t="e">
        <f>T68+#REF!++#REF!+#REF!+#REF!+#REF!+#REF!+#REF!+#REF!+#REF!+T91+T92</f>
        <v>#REF!</v>
      </c>
      <c r="U27" s="647" t="e">
        <f>U68+#REF!++#REF!+#REF!+#REF!+#REF!+#REF!+#REF!+#REF!+#REF!+U91+U92</f>
        <v>#REF!</v>
      </c>
      <c r="V27" s="647" t="e">
        <f>V68+#REF!++#REF!+#REF!+#REF!+#REF!+#REF!+#REF!+#REF!+#REF!+V91+V92</f>
        <v>#REF!</v>
      </c>
      <c r="W27" s="647" t="e">
        <f>W68+#REF!++#REF!+#REF!+#REF!+#REF!+#REF!+#REF!+#REF!+#REF!+W91+W92</f>
        <v>#REF!</v>
      </c>
      <c r="X27" s="647"/>
      <c r="Y27" s="647" t="e">
        <f>Y68+#REF!++#REF!+#REF!+#REF!+#REF!+#REF!+#REF!+#REF!+#REF!+Y91+Y92</f>
        <v>#REF!</v>
      </c>
      <c r="Z27" s="647" t="e">
        <f>Z68+#REF!++#REF!+#REF!+#REF!+#REF!+#REF!+#REF!+#REF!+#REF!+Z91+Z92</f>
        <v>#REF!</v>
      </c>
      <c r="AA27" s="647" t="e">
        <f>AA68+#REF!++#REF!+#REF!+#REF!+#REF!+#REF!+#REF!+#REF!+#REF!+AA91+AA92</f>
        <v>#REF!</v>
      </c>
      <c r="AB27" s="647" t="e">
        <f>AB68+#REF!++#REF!+#REF!+#REF!+#REF!+#REF!+#REF!+#REF!+#REF!+AB91+AB92</f>
        <v>#REF!</v>
      </c>
      <c r="AC27" s="647" t="e">
        <f>AC68+#REF!++#REF!+#REF!+#REF!+#REF!+#REF!+#REF!+#REF!+#REF!+AC91+AC92</f>
        <v>#REF!</v>
      </c>
      <c r="AD27" s="647" t="e">
        <f>AD68+#REF!++#REF!+#REF!+#REF!+#REF!+#REF!+#REF!+#REF!+#REF!+AD91+AD92</f>
        <v>#REF!</v>
      </c>
      <c r="AE27" s="647" t="e">
        <f>AE68+#REF!++#REF!+#REF!+#REF!+#REF!+#REF!+#REF!+#REF!+#REF!+AE91+AE92</f>
        <v>#REF!</v>
      </c>
      <c r="AF27" s="647" t="e">
        <f>AF68+#REF!++#REF!+#REF!+#REF!+#REF!+#REF!+#REF!+#REF!+#REF!+AF91+AF92</f>
        <v>#REF!</v>
      </c>
      <c r="AG27" s="648" t="e">
        <f>AG68+#REF!++#REF!+#REF!+#REF!+#REF!+#REF!+#REF!+#REF!+#REF!+AG91+AG92</f>
        <v>#REF!</v>
      </c>
      <c r="AH27" s="648" t="e">
        <f>AH68+#REF!++#REF!+#REF!+#REF!+#REF!+#REF!+#REF!+#REF!+#REF!+AH91+AH92</f>
        <v>#REF!</v>
      </c>
      <c r="AI27" s="648" t="e">
        <f>AI68+#REF!++#REF!+#REF!+#REF!+#REF!+#REF!+#REF!+#REF!+#REF!+AI91+AI92</f>
        <v>#REF!</v>
      </c>
      <c r="AJ27" s="631" t="e">
        <f t="shared" si="3"/>
        <v>#REF!</v>
      </c>
      <c r="AK27" s="632" t="e">
        <f t="shared" si="4"/>
        <v>#REF!</v>
      </c>
    </row>
    <row r="28" spans="1:37" s="649" customFormat="1" ht="13.5" hidden="1">
      <c r="A28" s="637" t="s">
        <v>81</v>
      </c>
      <c r="B28" s="646" t="s">
        <v>183</v>
      </c>
      <c r="C28" s="642" t="s">
        <v>71</v>
      </c>
      <c r="D28" s="647" t="e">
        <f>+D70+#REF!</f>
        <v>#REF!</v>
      </c>
      <c r="E28" s="647" t="e">
        <f>+E70+#REF!</f>
        <v>#REF!</v>
      </c>
      <c r="F28" s="647" t="e">
        <f>+F70+#REF!</f>
        <v>#REF!</v>
      </c>
      <c r="G28" s="647" t="e">
        <f>+G70+#REF!</f>
        <v>#REF!</v>
      </c>
      <c r="H28" s="647" t="e">
        <f>+H70+#REF!</f>
        <v>#REF!</v>
      </c>
      <c r="I28" s="647" t="e">
        <f>+I70+#REF!</f>
        <v>#REF!</v>
      </c>
      <c r="J28" s="647"/>
      <c r="K28" s="647"/>
      <c r="L28" s="647"/>
      <c r="M28" s="647"/>
      <c r="N28" s="647"/>
      <c r="O28" s="647"/>
      <c r="P28" s="647" t="e">
        <f>+P70+#REF!</f>
        <v>#REF!</v>
      </c>
      <c r="Q28" s="647" t="e">
        <f>+Q70+#REF!</f>
        <v>#REF!</v>
      </c>
      <c r="R28" s="647" t="e">
        <f>+R70+#REF!</f>
        <v>#REF!</v>
      </c>
      <c r="S28" s="647" t="e">
        <f>+S70+#REF!</f>
        <v>#REF!</v>
      </c>
      <c r="T28" s="647" t="e">
        <f>+T70+#REF!</f>
        <v>#REF!</v>
      </c>
      <c r="U28" s="647" t="e">
        <f>+U70+#REF!</f>
        <v>#REF!</v>
      </c>
      <c r="V28" s="647" t="e">
        <f>+V70+#REF!</f>
        <v>#REF!</v>
      </c>
      <c r="W28" s="647" t="e">
        <f>+W70+#REF!</f>
        <v>#REF!</v>
      </c>
      <c r="X28" s="647"/>
      <c r="Y28" s="647" t="e">
        <f>+Y70+#REF!</f>
        <v>#REF!</v>
      </c>
      <c r="Z28" s="647" t="e">
        <f>+Z70+#REF!</f>
        <v>#REF!</v>
      </c>
      <c r="AA28" s="647" t="e">
        <f>+AA70+#REF!</f>
        <v>#REF!</v>
      </c>
      <c r="AB28" s="647" t="e">
        <f>+AB70+#REF!</f>
        <v>#REF!</v>
      </c>
      <c r="AC28" s="647" t="e">
        <f>+AC70+#REF!</f>
        <v>#REF!</v>
      </c>
      <c r="AD28" s="647" t="e">
        <f>+AD70+#REF!</f>
        <v>#REF!</v>
      </c>
      <c r="AE28" s="647" t="e">
        <f>+AE70+#REF!</f>
        <v>#REF!</v>
      </c>
      <c r="AF28" s="647" t="e">
        <f>+AF70+#REF!</f>
        <v>#REF!</v>
      </c>
      <c r="AG28" s="652"/>
      <c r="AH28" s="629" t="e">
        <f>E28-F28-Y28-Z28-AE28-AF28</f>
        <v>#REF!</v>
      </c>
      <c r="AJ28" s="631" t="e">
        <f t="shared" si="3"/>
        <v>#REF!</v>
      </c>
      <c r="AK28" s="632" t="e">
        <f t="shared" si="4"/>
        <v>#REF!</v>
      </c>
    </row>
    <row r="29" spans="1:37" s="649" customFormat="1" ht="13.5" hidden="1">
      <c r="A29" s="637" t="s">
        <v>81</v>
      </c>
      <c r="B29" s="646" t="s">
        <v>717</v>
      </c>
      <c r="C29" s="637" t="s">
        <v>428</v>
      </c>
      <c r="D29" s="647" t="e">
        <f>+#REF!+#REF!+#REF!+#REF!+#REF!+#REF!+#REF!+#REF!</f>
        <v>#REF!</v>
      </c>
      <c r="E29" s="647" t="e">
        <f>+#REF!+#REF!+#REF!+#REF!+#REF!+#REF!+#REF!+#REF!</f>
        <v>#REF!</v>
      </c>
      <c r="F29" s="647" t="e">
        <f>+#REF!+#REF!+#REF!+#REF!+#REF!+#REF!+#REF!+#REF!</f>
        <v>#REF!</v>
      </c>
      <c r="G29" s="647" t="e">
        <f>+#REF!+#REF!+#REF!+#REF!+#REF!+#REF!+#REF!+#REF!</f>
        <v>#REF!</v>
      </c>
      <c r="H29" s="647" t="e">
        <f>+#REF!+#REF!+#REF!+#REF!+#REF!+#REF!+#REF!+#REF!</f>
        <v>#REF!</v>
      </c>
      <c r="I29" s="647" t="e">
        <f>+#REF!+#REF!+#REF!+#REF!+#REF!+#REF!+#REF!+#REF!</f>
        <v>#REF!</v>
      </c>
      <c r="J29" s="647"/>
      <c r="K29" s="647"/>
      <c r="L29" s="647"/>
      <c r="M29" s="647"/>
      <c r="N29" s="647"/>
      <c r="O29" s="647"/>
      <c r="P29" s="647" t="e">
        <f>+#REF!+#REF!+#REF!+#REF!+#REF!+#REF!+#REF!+#REF!</f>
        <v>#REF!</v>
      </c>
      <c r="Q29" s="647" t="e">
        <f>+#REF!+#REF!+#REF!+#REF!+#REF!+#REF!+#REF!+#REF!</f>
        <v>#REF!</v>
      </c>
      <c r="R29" s="647" t="e">
        <f>+#REF!+#REF!+#REF!+#REF!+#REF!+#REF!+#REF!+#REF!</f>
        <v>#REF!</v>
      </c>
      <c r="S29" s="647" t="e">
        <f>+#REF!+#REF!+#REF!+#REF!+#REF!+#REF!+#REF!+#REF!</f>
        <v>#REF!</v>
      </c>
      <c r="T29" s="647" t="e">
        <f>+#REF!+#REF!+#REF!+#REF!+#REF!+#REF!+#REF!+#REF!</f>
        <v>#REF!</v>
      </c>
      <c r="U29" s="647" t="e">
        <f>+#REF!+#REF!+#REF!+#REF!+#REF!+#REF!+#REF!+#REF!</f>
        <v>#REF!</v>
      </c>
      <c r="V29" s="647" t="e">
        <f>+#REF!+#REF!+#REF!+#REF!+#REF!+#REF!+#REF!+#REF!</f>
        <v>#REF!</v>
      </c>
      <c r="W29" s="647" t="e">
        <f>+#REF!+#REF!+#REF!+#REF!+#REF!+#REF!+#REF!+#REF!</f>
        <v>#REF!</v>
      </c>
      <c r="X29" s="647"/>
      <c r="Y29" s="647" t="e">
        <f>+#REF!+#REF!+#REF!+#REF!+#REF!+#REF!+#REF!+#REF!</f>
        <v>#REF!</v>
      </c>
      <c r="Z29" s="647" t="e">
        <f>+#REF!+#REF!+#REF!+#REF!+#REF!+#REF!+#REF!+#REF!</f>
        <v>#REF!</v>
      </c>
      <c r="AA29" s="647" t="e">
        <f>+#REF!+#REF!+#REF!+#REF!+#REF!+#REF!+#REF!+#REF!</f>
        <v>#REF!</v>
      </c>
      <c r="AB29" s="647" t="e">
        <f>+#REF!+#REF!+#REF!+#REF!+#REF!+#REF!+#REF!+#REF!</f>
        <v>#REF!</v>
      </c>
      <c r="AC29" s="647" t="e">
        <f>+#REF!+#REF!+#REF!+#REF!+#REF!+#REF!+#REF!+#REF!</f>
        <v>#REF!</v>
      </c>
      <c r="AD29" s="647" t="e">
        <f>+#REF!+#REF!+#REF!+#REF!+#REF!+#REF!+#REF!+#REF!</f>
        <v>#REF!</v>
      </c>
      <c r="AE29" s="647" t="e">
        <f>+#REF!+#REF!+#REF!+#REF!+#REF!+#REF!+#REF!+#REF!</f>
        <v>#REF!</v>
      </c>
      <c r="AF29" s="647" t="e">
        <f>+#REF!+#REF!+#REF!+#REF!+#REF!+#REF!+#REF!+#REF!</f>
        <v>#REF!</v>
      </c>
      <c r="AG29" s="658" t="e">
        <f>#REF!+#REF!+#REF!+#REF!+#REF!+#REF!+#REF!+#REF!</f>
        <v>#REF!</v>
      </c>
      <c r="AH29" s="658" t="e">
        <f>#REF!+#REF!+#REF!+#REF!+#REF!+#REF!+#REF!+#REF!</f>
        <v>#REF!</v>
      </c>
      <c r="AI29" s="658" t="e">
        <f>#REF!+#REF!+#REF!+#REF!+#REF!+#REF!+#REF!+#REF!</f>
        <v>#REF!</v>
      </c>
      <c r="AJ29" s="631" t="e">
        <f t="shared" si="3"/>
        <v>#REF!</v>
      </c>
      <c r="AK29" s="632" t="e">
        <f t="shared" si="4"/>
        <v>#REF!</v>
      </c>
    </row>
    <row r="30" spans="1:37" s="641" customFormat="1" ht="13.5" hidden="1">
      <c r="A30" s="635">
        <v>5</v>
      </c>
      <c r="B30" s="636" t="s">
        <v>718</v>
      </c>
      <c r="C30" s="637" t="s">
        <v>71</v>
      </c>
      <c r="D30" s="643" t="e">
        <f>+D72+#REF!+#REF!+#REF!+#REF!+#REF!+#REF!</f>
        <v>#REF!</v>
      </c>
      <c r="E30" s="643" t="e">
        <f>+E72+#REF!+#REF!+#REF!+#REF!+#REF!+#REF!</f>
        <v>#REF!</v>
      </c>
      <c r="F30" s="643" t="e">
        <f>+F72+#REF!+#REF!+#REF!+#REF!+#REF!+#REF!</f>
        <v>#REF!</v>
      </c>
      <c r="G30" s="643" t="e">
        <f>+G72+#REF!+#REF!+#REF!+#REF!+#REF!+#REF!</f>
        <v>#REF!</v>
      </c>
      <c r="H30" s="643" t="e">
        <f>+H72+#REF!+#REF!+#REF!+#REF!+#REF!+#REF!</f>
        <v>#REF!</v>
      </c>
      <c r="I30" s="643" t="e">
        <f>+I72+#REF!+#REF!+#REF!+#REF!+#REF!+#REF!</f>
        <v>#REF!</v>
      </c>
      <c r="J30" s="643"/>
      <c r="K30" s="643"/>
      <c r="L30" s="643"/>
      <c r="M30" s="643"/>
      <c r="N30" s="643"/>
      <c r="O30" s="643"/>
      <c r="P30" s="643" t="e">
        <f>+P72+#REF!+#REF!+#REF!+#REF!+#REF!+#REF!</f>
        <v>#REF!</v>
      </c>
      <c r="Q30" s="643" t="e">
        <f>+Q72+#REF!+#REF!+#REF!+#REF!+#REF!+#REF!</f>
        <v>#REF!</v>
      </c>
      <c r="R30" s="643" t="e">
        <f>+R72+#REF!+#REF!+#REF!+#REF!+#REF!+#REF!</f>
        <v>#REF!</v>
      </c>
      <c r="S30" s="643" t="e">
        <f>+S72+#REF!+#REF!+#REF!+#REF!+#REF!+#REF!</f>
        <v>#REF!</v>
      </c>
      <c r="T30" s="643" t="e">
        <f>+T72+#REF!+#REF!+#REF!+#REF!+#REF!+#REF!</f>
        <v>#REF!</v>
      </c>
      <c r="U30" s="643" t="e">
        <f>+U72+#REF!+#REF!+#REF!+#REF!+#REF!+#REF!</f>
        <v>#REF!</v>
      </c>
      <c r="V30" s="643" t="e">
        <f>+V72+#REF!+#REF!+#REF!+#REF!+#REF!+#REF!</f>
        <v>#REF!</v>
      </c>
      <c r="W30" s="643" t="e">
        <f>+W72+#REF!+#REF!+#REF!+#REF!+#REF!+#REF!</f>
        <v>#REF!</v>
      </c>
      <c r="X30" s="643"/>
      <c r="Y30" s="643" t="e">
        <f>+Y72+#REF!+#REF!+#REF!+#REF!+#REF!+#REF!</f>
        <v>#REF!</v>
      </c>
      <c r="Z30" s="643" t="e">
        <f>+Z72+#REF!+#REF!+#REF!+#REF!+#REF!+#REF!</f>
        <v>#REF!</v>
      </c>
      <c r="AA30" s="643" t="e">
        <f>+AA72+#REF!+#REF!+#REF!+#REF!+#REF!+#REF!</f>
        <v>#REF!</v>
      </c>
      <c r="AB30" s="643" t="e">
        <f>+AB72+#REF!+#REF!+#REF!+#REF!+#REF!+#REF!</f>
        <v>#REF!</v>
      </c>
      <c r="AC30" s="643" t="e">
        <f>+AC72+#REF!+#REF!+#REF!+#REF!+#REF!+#REF!</f>
        <v>#REF!</v>
      </c>
      <c r="AD30" s="643" t="e">
        <f>+AD72+#REF!+#REF!+#REF!+#REF!+#REF!+#REF!</f>
        <v>#REF!</v>
      </c>
      <c r="AE30" s="643" t="e">
        <f>+AE72+#REF!+#REF!+#REF!+#REF!+#REF!+#REF!</f>
        <v>#REF!</v>
      </c>
      <c r="AF30" s="643" t="e">
        <f>+AF72+#REF!+#REF!+#REF!+#REF!+#REF!+#REF!</f>
        <v>#REF!</v>
      </c>
      <c r="AG30" s="659" t="e">
        <f>AG72+#REF!+#REF!+#REF!+#REF!+#REF!+#REF!</f>
        <v>#REF!</v>
      </c>
      <c r="AH30" s="659" t="e">
        <f>AH72+#REF!+#REF!+#REF!+#REF!+#REF!+#REF!</f>
        <v>#REF!</v>
      </c>
      <c r="AI30" s="659" t="e">
        <f>AI72+#REF!+#REF!+#REF!+#REF!+#REF!+#REF!</f>
        <v>#REF!</v>
      </c>
      <c r="AJ30" s="631" t="e">
        <f t="shared" si="3"/>
        <v>#REF!</v>
      </c>
      <c r="AK30" s="632" t="e">
        <f t="shared" si="4"/>
        <v>#REF!</v>
      </c>
    </row>
    <row r="31" spans="1:37" s="641" customFormat="1" ht="13.5" hidden="1">
      <c r="A31" s="635">
        <v>6</v>
      </c>
      <c r="B31" s="636" t="s">
        <v>719</v>
      </c>
      <c r="C31" s="637" t="s">
        <v>71</v>
      </c>
      <c r="D31" s="643" t="e">
        <f>D74+#REF!+#REF!+#REF!+#REF!+#REF!+#REF!+#REF!</f>
        <v>#REF!</v>
      </c>
      <c r="E31" s="643" t="e">
        <f>E74+#REF!+#REF!+#REF!+#REF!+#REF!+#REF!+#REF!</f>
        <v>#REF!</v>
      </c>
      <c r="F31" s="643" t="e">
        <f>F74+#REF!+#REF!+#REF!+#REF!+#REF!+#REF!+#REF!</f>
        <v>#REF!</v>
      </c>
      <c r="G31" s="643" t="e">
        <f>G74+#REF!+#REF!+#REF!+#REF!+#REF!+#REF!+#REF!</f>
        <v>#REF!</v>
      </c>
      <c r="H31" s="643" t="e">
        <f>H74+#REF!+#REF!+#REF!+#REF!+#REF!+#REF!+#REF!</f>
        <v>#REF!</v>
      </c>
      <c r="I31" s="643" t="e">
        <f>I74+#REF!+#REF!+#REF!+#REF!+#REF!+#REF!+#REF!</f>
        <v>#REF!</v>
      </c>
      <c r="J31" s="643"/>
      <c r="K31" s="643"/>
      <c r="L31" s="643"/>
      <c r="M31" s="643"/>
      <c r="N31" s="643"/>
      <c r="O31" s="643"/>
      <c r="P31" s="643" t="e">
        <f>P74+#REF!+#REF!+#REF!+#REF!+#REF!+#REF!+#REF!</f>
        <v>#REF!</v>
      </c>
      <c r="Q31" s="643" t="e">
        <f>Q74+#REF!+#REF!+#REF!+#REF!+#REF!+#REF!+#REF!</f>
        <v>#REF!</v>
      </c>
      <c r="R31" s="643" t="e">
        <f>R74+#REF!+#REF!+#REF!+#REF!+#REF!+#REF!+#REF!</f>
        <v>#REF!</v>
      </c>
      <c r="S31" s="643" t="e">
        <f>S74+#REF!+#REF!+#REF!+#REF!+#REF!+#REF!+#REF!</f>
        <v>#REF!</v>
      </c>
      <c r="T31" s="643" t="e">
        <f>T74+#REF!+#REF!+#REF!+#REF!+#REF!+#REF!+#REF!</f>
        <v>#REF!</v>
      </c>
      <c r="U31" s="643" t="e">
        <f>U74+#REF!+#REF!+#REF!+#REF!+#REF!+#REF!+#REF!</f>
        <v>#REF!</v>
      </c>
      <c r="V31" s="643" t="e">
        <f>V74+#REF!+#REF!+#REF!+#REF!+#REF!+#REF!+#REF!</f>
        <v>#REF!</v>
      </c>
      <c r="W31" s="643" t="e">
        <f>W74+#REF!+#REF!+#REF!+#REF!+#REF!+#REF!+#REF!</f>
        <v>#REF!</v>
      </c>
      <c r="X31" s="643"/>
      <c r="Y31" s="643" t="e">
        <f>Y74+#REF!+#REF!+#REF!+#REF!+#REF!+#REF!+#REF!</f>
        <v>#REF!</v>
      </c>
      <c r="Z31" s="643" t="e">
        <f>Z74+#REF!+#REF!+#REF!+#REF!+#REF!+#REF!+#REF!</f>
        <v>#REF!</v>
      </c>
      <c r="AA31" s="643" t="e">
        <f>AA74+#REF!+#REF!+#REF!+#REF!+#REF!+#REF!+#REF!</f>
        <v>#REF!</v>
      </c>
      <c r="AB31" s="643" t="e">
        <f>AB74+#REF!+#REF!+#REF!+#REF!+#REF!+#REF!+#REF!</f>
        <v>#REF!</v>
      </c>
      <c r="AC31" s="643" t="e">
        <f>AC74+#REF!+#REF!+#REF!+#REF!+#REF!+#REF!+#REF!</f>
        <v>#REF!</v>
      </c>
      <c r="AD31" s="643" t="e">
        <f>AD74+#REF!+#REF!+#REF!+#REF!+#REF!+#REF!+#REF!</f>
        <v>#REF!</v>
      </c>
      <c r="AE31" s="643" t="e">
        <f>AE74+#REF!+#REF!+#REF!+#REF!+#REF!+#REF!+#REF!</f>
        <v>#REF!</v>
      </c>
      <c r="AF31" s="643" t="e">
        <f>AF74+#REF!+#REF!+#REF!+#REF!+#REF!+#REF!+#REF!</f>
        <v>#REF!</v>
      </c>
      <c r="AG31" s="659" t="e">
        <f>AG74+#REF!+#REF!+#REF!+#REF!+#REF!+#REF!+#REF!</f>
        <v>#REF!</v>
      </c>
      <c r="AH31" s="659" t="e">
        <f>AH74+#REF!+#REF!+#REF!+#REF!+#REF!+#REF!+#REF!</f>
        <v>#REF!</v>
      </c>
      <c r="AI31" s="659" t="e">
        <f>AI74+#REF!+#REF!+#REF!+#REF!+#REF!+#REF!+#REF!</f>
        <v>#REF!</v>
      </c>
      <c r="AJ31" s="631" t="e">
        <f t="shared" si="3"/>
        <v>#REF!</v>
      </c>
      <c r="AK31" s="632" t="e">
        <f t="shared" si="4"/>
        <v>#REF!</v>
      </c>
    </row>
    <row r="32" spans="1:37" s="641" customFormat="1" ht="25.5" hidden="1">
      <c r="A32" s="635">
        <v>7</v>
      </c>
      <c r="B32" s="636" t="s">
        <v>720</v>
      </c>
      <c r="C32" s="637"/>
      <c r="D32" s="643"/>
      <c r="E32" s="643" t="e">
        <f>+E33+E34+E35+E36</f>
        <v>#REF!</v>
      </c>
      <c r="F32" s="643" t="e">
        <f t="shared" ref="F32:AF32" si="7">+F33+F34+F35+F36</f>
        <v>#REF!</v>
      </c>
      <c r="G32" s="643" t="e">
        <f t="shared" si="7"/>
        <v>#REF!</v>
      </c>
      <c r="H32" s="643" t="e">
        <f t="shared" si="7"/>
        <v>#REF!</v>
      </c>
      <c r="I32" s="643" t="e">
        <f t="shared" si="7"/>
        <v>#REF!</v>
      </c>
      <c r="J32" s="643"/>
      <c r="K32" s="643"/>
      <c r="L32" s="643"/>
      <c r="M32" s="643"/>
      <c r="N32" s="643"/>
      <c r="O32" s="643"/>
      <c r="P32" s="643" t="e">
        <f t="shared" si="7"/>
        <v>#REF!</v>
      </c>
      <c r="Q32" s="643" t="e">
        <f t="shared" si="7"/>
        <v>#REF!</v>
      </c>
      <c r="R32" s="643" t="e">
        <f t="shared" si="7"/>
        <v>#REF!</v>
      </c>
      <c r="S32" s="643" t="e">
        <f t="shared" si="7"/>
        <v>#REF!</v>
      </c>
      <c r="T32" s="643" t="e">
        <f t="shared" si="7"/>
        <v>#REF!</v>
      </c>
      <c r="U32" s="643" t="e">
        <f t="shared" si="7"/>
        <v>#REF!</v>
      </c>
      <c r="V32" s="643" t="e">
        <f t="shared" si="7"/>
        <v>#REF!</v>
      </c>
      <c r="W32" s="643" t="e">
        <f t="shared" si="7"/>
        <v>#REF!</v>
      </c>
      <c r="X32" s="643"/>
      <c r="Y32" s="643" t="e">
        <f t="shared" si="7"/>
        <v>#REF!</v>
      </c>
      <c r="Z32" s="643" t="e">
        <f t="shared" si="7"/>
        <v>#REF!</v>
      </c>
      <c r="AA32" s="643" t="e">
        <f t="shared" si="7"/>
        <v>#REF!</v>
      </c>
      <c r="AB32" s="643" t="e">
        <f t="shared" si="7"/>
        <v>#REF!</v>
      </c>
      <c r="AC32" s="643" t="e">
        <f t="shared" si="7"/>
        <v>#REF!</v>
      </c>
      <c r="AD32" s="643" t="e">
        <f t="shared" si="7"/>
        <v>#REF!</v>
      </c>
      <c r="AE32" s="643" t="e">
        <f t="shared" si="7"/>
        <v>#REF!</v>
      </c>
      <c r="AF32" s="643" t="e">
        <f t="shared" si="7"/>
        <v>#REF!</v>
      </c>
      <c r="AG32" s="644"/>
      <c r="AH32" s="645" t="e">
        <f>E32-F32-Y32-Z32-AE32-AF32</f>
        <v>#REF!</v>
      </c>
      <c r="AJ32" s="631" t="e">
        <f t="shared" si="3"/>
        <v>#REF!</v>
      </c>
      <c r="AK32" s="632" t="e">
        <f t="shared" si="4"/>
        <v>#REF!</v>
      </c>
    </row>
    <row r="33" spans="1:37" s="649" customFormat="1" ht="25.5" hidden="1">
      <c r="A33" s="657" t="s">
        <v>81</v>
      </c>
      <c r="B33" s="646" t="s">
        <v>721</v>
      </c>
      <c r="C33" s="637" t="s">
        <v>71</v>
      </c>
      <c r="D33" s="647" t="e">
        <f>+#REF!+#REF!+#REF!+#REF!+#REF!+#REF!</f>
        <v>#REF!</v>
      </c>
      <c r="E33" s="647" t="e">
        <f>+#REF!+#REF!+#REF!+#REF!+#REF!+#REF!</f>
        <v>#REF!</v>
      </c>
      <c r="F33" s="647" t="e">
        <f>+#REF!+#REF!+#REF!+#REF!+#REF!+#REF!</f>
        <v>#REF!</v>
      </c>
      <c r="G33" s="647" t="e">
        <f>+#REF!+#REF!+#REF!+#REF!+#REF!+#REF!</f>
        <v>#REF!</v>
      </c>
      <c r="H33" s="647" t="e">
        <f>+#REF!+#REF!+#REF!+#REF!+#REF!+#REF!</f>
        <v>#REF!</v>
      </c>
      <c r="I33" s="647" t="e">
        <f>+#REF!+#REF!+#REF!+#REF!+#REF!+#REF!</f>
        <v>#REF!</v>
      </c>
      <c r="J33" s="647"/>
      <c r="K33" s="647"/>
      <c r="L33" s="647"/>
      <c r="M33" s="647"/>
      <c r="N33" s="647"/>
      <c r="O33" s="647"/>
      <c r="P33" s="647" t="e">
        <f>+#REF!+#REF!+#REF!+#REF!+#REF!+#REF!</f>
        <v>#REF!</v>
      </c>
      <c r="Q33" s="647" t="e">
        <f>+#REF!+#REF!+#REF!+#REF!+#REF!+#REF!</f>
        <v>#REF!</v>
      </c>
      <c r="R33" s="647" t="e">
        <f>+#REF!+#REF!+#REF!+#REF!+#REF!+#REF!</f>
        <v>#REF!</v>
      </c>
      <c r="S33" s="647" t="e">
        <f>+#REF!+#REF!+#REF!+#REF!+#REF!+#REF!</f>
        <v>#REF!</v>
      </c>
      <c r="T33" s="647" t="e">
        <f>+#REF!+#REF!+#REF!+#REF!+#REF!+#REF!</f>
        <v>#REF!</v>
      </c>
      <c r="U33" s="647" t="e">
        <f>+#REF!+#REF!+#REF!+#REF!+#REF!+#REF!</f>
        <v>#REF!</v>
      </c>
      <c r="V33" s="647" t="e">
        <f>+#REF!+#REF!+#REF!+#REF!+#REF!+#REF!</f>
        <v>#REF!</v>
      </c>
      <c r="W33" s="647" t="e">
        <f>+#REF!+#REF!+#REF!+#REF!+#REF!+#REF!</f>
        <v>#REF!</v>
      </c>
      <c r="X33" s="647"/>
      <c r="Y33" s="647" t="e">
        <f>+#REF!+#REF!+#REF!+#REF!+#REF!+#REF!</f>
        <v>#REF!</v>
      </c>
      <c r="Z33" s="647" t="e">
        <f>+#REF!+#REF!+#REF!+#REF!+#REF!+#REF!</f>
        <v>#REF!</v>
      </c>
      <c r="AA33" s="647" t="e">
        <f>+#REF!+#REF!+#REF!+#REF!+#REF!+#REF!</f>
        <v>#REF!</v>
      </c>
      <c r="AB33" s="647" t="e">
        <f>+#REF!+#REF!+#REF!+#REF!+#REF!+#REF!</f>
        <v>#REF!</v>
      </c>
      <c r="AC33" s="647" t="e">
        <f>+#REF!+#REF!+#REF!+#REF!+#REF!+#REF!</f>
        <v>#REF!</v>
      </c>
      <c r="AD33" s="647" t="e">
        <f>+#REF!+#REF!+#REF!+#REF!+#REF!+#REF!</f>
        <v>#REF!</v>
      </c>
      <c r="AE33" s="647" t="e">
        <f>+#REF!+#REF!+#REF!+#REF!+#REF!+#REF!</f>
        <v>#REF!</v>
      </c>
      <c r="AF33" s="647" t="e">
        <f>+#REF!+#REF!+#REF!+#REF!+#REF!+#REF!</f>
        <v>#REF!</v>
      </c>
      <c r="AG33" s="648" t="e">
        <f>+#REF!+#REF!+#REF!+#REF!+#REF!+#REF!</f>
        <v>#REF!</v>
      </c>
      <c r="AH33" s="648" t="e">
        <f>+#REF!+#REF!+#REF!+#REF!+#REF!+#REF!</f>
        <v>#REF!</v>
      </c>
      <c r="AI33" s="648" t="e">
        <f>+#REF!+#REF!+#REF!+#REF!+#REF!+#REF!</f>
        <v>#REF!</v>
      </c>
      <c r="AJ33" s="631" t="e">
        <f t="shared" si="3"/>
        <v>#REF!</v>
      </c>
      <c r="AK33" s="632" t="e">
        <f t="shared" si="4"/>
        <v>#REF!</v>
      </c>
    </row>
    <row r="34" spans="1:37" s="649" customFormat="1" ht="13.5" hidden="1">
      <c r="A34" s="637" t="s">
        <v>81</v>
      </c>
      <c r="B34" s="646" t="s">
        <v>722</v>
      </c>
      <c r="C34" s="637" t="s">
        <v>71</v>
      </c>
      <c r="D34" s="647" t="e">
        <f>+#REF!+#REF!+#REF!+#REF!+#REF!+#REF!+#REF!+#REF!</f>
        <v>#REF!</v>
      </c>
      <c r="E34" s="647" t="e">
        <f>+#REF!+#REF!+#REF!+#REF!+#REF!+#REF!+#REF!+#REF!</f>
        <v>#REF!</v>
      </c>
      <c r="F34" s="647" t="e">
        <f>+#REF!+#REF!+#REF!+#REF!+#REF!+#REF!+#REF!+#REF!</f>
        <v>#REF!</v>
      </c>
      <c r="G34" s="647" t="e">
        <f>+#REF!+#REF!+#REF!+#REF!+#REF!+#REF!+#REF!+#REF!</f>
        <v>#REF!</v>
      </c>
      <c r="H34" s="647" t="e">
        <f>+#REF!+#REF!+#REF!+#REF!+#REF!+#REF!+#REF!+#REF!</f>
        <v>#REF!</v>
      </c>
      <c r="I34" s="647" t="e">
        <f>+#REF!+#REF!+#REF!+#REF!+#REF!+#REF!+#REF!+#REF!</f>
        <v>#REF!</v>
      </c>
      <c r="J34" s="647"/>
      <c r="K34" s="647"/>
      <c r="L34" s="647"/>
      <c r="M34" s="647"/>
      <c r="N34" s="647"/>
      <c r="O34" s="647"/>
      <c r="P34" s="647" t="e">
        <f>+#REF!+#REF!+#REF!+#REF!+#REF!+#REF!+#REF!+#REF!</f>
        <v>#REF!</v>
      </c>
      <c r="Q34" s="647" t="e">
        <f>+#REF!+#REF!+#REF!+#REF!+#REF!+#REF!+#REF!+#REF!</f>
        <v>#REF!</v>
      </c>
      <c r="R34" s="647" t="e">
        <f>+#REF!+#REF!+#REF!+#REF!+#REF!+#REF!+#REF!+#REF!</f>
        <v>#REF!</v>
      </c>
      <c r="S34" s="647" t="e">
        <f>+#REF!+#REF!+#REF!+#REF!+#REF!+#REF!+#REF!+#REF!</f>
        <v>#REF!</v>
      </c>
      <c r="T34" s="647" t="e">
        <f>+#REF!+#REF!+#REF!+#REF!+#REF!+#REF!+#REF!+#REF!</f>
        <v>#REF!</v>
      </c>
      <c r="U34" s="647" t="e">
        <f>+#REF!+#REF!+#REF!+#REF!+#REF!+#REF!+#REF!+#REF!</f>
        <v>#REF!</v>
      </c>
      <c r="V34" s="647" t="e">
        <f>+#REF!+#REF!+#REF!+#REF!+#REF!+#REF!+#REF!+#REF!</f>
        <v>#REF!</v>
      </c>
      <c r="W34" s="647" t="e">
        <f>+#REF!+#REF!+#REF!+#REF!+#REF!+#REF!+#REF!+#REF!</f>
        <v>#REF!</v>
      </c>
      <c r="X34" s="647"/>
      <c r="Y34" s="647" t="e">
        <f>+#REF!+#REF!+#REF!+#REF!+#REF!+#REF!+#REF!+#REF!</f>
        <v>#REF!</v>
      </c>
      <c r="Z34" s="647" t="e">
        <f>+#REF!+#REF!+#REF!+#REF!+#REF!+#REF!+#REF!+#REF!</f>
        <v>#REF!</v>
      </c>
      <c r="AA34" s="647" t="e">
        <f>+#REF!+#REF!+#REF!+#REF!+#REF!+#REF!+#REF!+#REF!</f>
        <v>#REF!</v>
      </c>
      <c r="AB34" s="647" t="e">
        <f>+#REF!+#REF!+#REF!+#REF!+#REF!+#REF!+#REF!+#REF!</f>
        <v>#REF!</v>
      </c>
      <c r="AC34" s="647" t="e">
        <f>+#REF!+#REF!+#REF!+#REF!+#REF!+#REF!+#REF!+#REF!</f>
        <v>#REF!</v>
      </c>
      <c r="AD34" s="647" t="e">
        <f>+#REF!+#REF!+#REF!+#REF!+#REF!+#REF!+#REF!+#REF!</f>
        <v>#REF!</v>
      </c>
      <c r="AE34" s="647" t="e">
        <f>+#REF!+#REF!+#REF!+#REF!+#REF!+#REF!+#REF!+#REF!</f>
        <v>#REF!</v>
      </c>
      <c r="AF34" s="647" t="e">
        <f>+#REF!+#REF!+#REF!+#REF!+#REF!+#REF!+#REF!+#REF!</f>
        <v>#REF!</v>
      </c>
      <c r="AG34" s="658" t="e">
        <f>#REF!+#REF!+#REF!+#REF!+#REF!+#REF!+#REF!+#REF!</f>
        <v>#REF!</v>
      </c>
      <c r="AH34" s="658" t="e">
        <f>#REF!+#REF!+#REF!+#REF!+#REF!+#REF!+#REF!+#REF!</f>
        <v>#REF!</v>
      </c>
      <c r="AI34" s="658" t="e">
        <f>#REF!+#REF!+#REF!+#REF!+#REF!+#REF!+#REF!+#REF!</f>
        <v>#REF!</v>
      </c>
      <c r="AJ34" s="631" t="e">
        <f t="shared" si="3"/>
        <v>#REF!</v>
      </c>
      <c r="AK34" s="632" t="e">
        <f t="shared" si="4"/>
        <v>#REF!</v>
      </c>
    </row>
    <row r="35" spans="1:37" s="649" customFormat="1" ht="13.5" hidden="1">
      <c r="A35" s="637" t="s">
        <v>81</v>
      </c>
      <c r="B35" s="646" t="s">
        <v>723</v>
      </c>
      <c r="C35" s="637" t="s">
        <v>71</v>
      </c>
      <c r="D35" s="647" t="e">
        <f>#REF!+#REF!+#REF!+#REF!+#REF!</f>
        <v>#REF!</v>
      </c>
      <c r="E35" s="647" t="e">
        <f>#REF!+#REF!+#REF!+#REF!+#REF!</f>
        <v>#REF!</v>
      </c>
      <c r="F35" s="647" t="e">
        <f>#REF!+#REF!+#REF!+#REF!+#REF!</f>
        <v>#REF!</v>
      </c>
      <c r="G35" s="647" t="e">
        <f>#REF!+#REF!+#REF!+#REF!+#REF!</f>
        <v>#REF!</v>
      </c>
      <c r="H35" s="647" t="e">
        <f>#REF!+#REF!+#REF!+#REF!+#REF!</f>
        <v>#REF!</v>
      </c>
      <c r="I35" s="647" t="e">
        <f>#REF!+#REF!+#REF!+#REF!+#REF!</f>
        <v>#REF!</v>
      </c>
      <c r="J35" s="647"/>
      <c r="K35" s="647"/>
      <c r="L35" s="647"/>
      <c r="M35" s="647"/>
      <c r="N35" s="647"/>
      <c r="O35" s="647"/>
      <c r="P35" s="647" t="e">
        <f>#REF!+#REF!+#REF!+#REF!+#REF!</f>
        <v>#REF!</v>
      </c>
      <c r="Q35" s="647" t="e">
        <f>#REF!+#REF!+#REF!+#REF!+#REF!</f>
        <v>#REF!</v>
      </c>
      <c r="R35" s="647" t="e">
        <f>#REF!+#REF!+#REF!+#REF!+#REF!</f>
        <v>#REF!</v>
      </c>
      <c r="S35" s="647" t="e">
        <f>#REF!+#REF!+#REF!+#REF!+#REF!</f>
        <v>#REF!</v>
      </c>
      <c r="T35" s="647" t="e">
        <f>#REF!+#REF!+#REF!+#REF!+#REF!</f>
        <v>#REF!</v>
      </c>
      <c r="U35" s="647" t="e">
        <f>#REF!+#REF!+#REF!+#REF!+#REF!</f>
        <v>#REF!</v>
      </c>
      <c r="V35" s="647" t="e">
        <f>#REF!+#REF!+#REF!+#REF!+#REF!</f>
        <v>#REF!</v>
      </c>
      <c r="W35" s="647" t="e">
        <f>#REF!+#REF!+#REF!+#REF!+#REF!</f>
        <v>#REF!</v>
      </c>
      <c r="X35" s="647"/>
      <c r="Y35" s="647" t="e">
        <f>#REF!+#REF!+#REF!+#REF!+#REF!</f>
        <v>#REF!</v>
      </c>
      <c r="Z35" s="647" t="e">
        <f>#REF!+#REF!+#REF!+#REF!+#REF!</f>
        <v>#REF!</v>
      </c>
      <c r="AA35" s="647" t="e">
        <f>#REF!+#REF!+#REF!+#REF!+#REF!</f>
        <v>#REF!</v>
      </c>
      <c r="AB35" s="647" t="e">
        <f>#REF!+#REF!+#REF!+#REF!+#REF!</f>
        <v>#REF!</v>
      </c>
      <c r="AC35" s="647" t="e">
        <f>#REF!+#REF!+#REF!+#REF!+#REF!</f>
        <v>#REF!</v>
      </c>
      <c r="AD35" s="647" t="e">
        <f>#REF!+#REF!+#REF!+#REF!+#REF!</f>
        <v>#REF!</v>
      </c>
      <c r="AE35" s="647" t="e">
        <f>#REF!+#REF!+#REF!+#REF!+#REF!</f>
        <v>#REF!</v>
      </c>
      <c r="AF35" s="647" t="e">
        <f>#REF!+#REF!+#REF!+#REF!+#REF!</f>
        <v>#REF!</v>
      </c>
      <c r="AG35" s="660"/>
      <c r="AH35" s="629" t="e">
        <f>E35-F35-Y35-Z35-AE35-AF35</f>
        <v>#REF!</v>
      </c>
      <c r="AJ35" s="631" t="e">
        <f t="shared" si="3"/>
        <v>#REF!</v>
      </c>
      <c r="AK35" s="632" t="e">
        <f t="shared" si="4"/>
        <v>#REF!</v>
      </c>
    </row>
    <row r="36" spans="1:37" s="649" customFormat="1" ht="13.5" hidden="1">
      <c r="A36" s="637" t="s">
        <v>81</v>
      </c>
      <c r="B36" s="646" t="s">
        <v>587</v>
      </c>
      <c r="C36" s="637" t="s">
        <v>71</v>
      </c>
      <c r="D36" s="647" t="e">
        <f>+#REF!+#REF!+#REF!+#REF!+#REF!+#REF!</f>
        <v>#REF!</v>
      </c>
      <c r="E36" s="647" t="e">
        <f>+#REF!+#REF!+#REF!+#REF!+#REF!+#REF!</f>
        <v>#REF!</v>
      </c>
      <c r="F36" s="647" t="e">
        <f>+#REF!+#REF!+#REF!+#REF!+#REF!+#REF!</f>
        <v>#REF!</v>
      </c>
      <c r="G36" s="647" t="e">
        <f>+#REF!+#REF!+#REF!+#REF!+#REF!+#REF!</f>
        <v>#REF!</v>
      </c>
      <c r="H36" s="647" t="e">
        <f>+#REF!+#REF!+#REF!+#REF!+#REF!+#REF!</f>
        <v>#REF!</v>
      </c>
      <c r="I36" s="647" t="e">
        <f>+#REF!+#REF!+#REF!+#REF!+#REF!+#REF!</f>
        <v>#REF!</v>
      </c>
      <c r="J36" s="647"/>
      <c r="K36" s="647"/>
      <c r="L36" s="647"/>
      <c r="M36" s="647"/>
      <c r="N36" s="647"/>
      <c r="O36" s="647"/>
      <c r="P36" s="647" t="e">
        <f>+#REF!+#REF!+#REF!+#REF!+#REF!+#REF!</f>
        <v>#REF!</v>
      </c>
      <c r="Q36" s="647" t="e">
        <f>+#REF!+#REF!+#REF!+#REF!+#REF!+#REF!</f>
        <v>#REF!</v>
      </c>
      <c r="R36" s="647" t="e">
        <f>+#REF!+#REF!+#REF!+#REF!+#REF!+#REF!</f>
        <v>#REF!</v>
      </c>
      <c r="S36" s="647" t="e">
        <f>+#REF!+#REF!+#REF!+#REF!+#REF!+#REF!</f>
        <v>#REF!</v>
      </c>
      <c r="T36" s="647" t="e">
        <f>+#REF!+#REF!+#REF!+#REF!+#REF!+#REF!</f>
        <v>#REF!</v>
      </c>
      <c r="U36" s="647" t="e">
        <f>+#REF!+#REF!+#REF!+#REF!+#REF!+#REF!</f>
        <v>#REF!</v>
      </c>
      <c r="V36" s="647" t="e">
        <f>+#REF!+#REF!+#REF!+#REF!+#REF!+#REF!</f>
        <v>#REF!</v>
      </c>
      <c r="W36" s="647" t="e">
        <f>+#REF!+#REF!+#REF!+#REF!+#REF!+#REF!</f>
        <v>#REF!</v>
      </c>
      <c r="X36" s="647"/>
      <c r="Y36" s="647" t="e">
        <f>+#REF!+#REF!+#REF!+#REF!+#REF!+#REF!</f>
        <v>#REF!</v>
      </c>
      <c r="Z36" s="647" t="e">
        <f>+#REF!+#REF!+#REF!+#REF!+#REF!+#REF!</f>
        <v>#REF!</v>
      </c>
      <c r="AA36" s="647" t="e">
        <f>+#REF!+#REF!+#REF!+#REF!+#REF!+#REF!</f>
        <v>#REF!</v>
      </c>
      <c r="AB36" s="647" t="e">
        <f>+#REF!+#REF!+#REF!+#REF!+#REF!+#REF!</f>
        <v>#REF!</v>
      </c>
      <c r="AC36" s="647" t="e">
        <f>+#REF!+#REF!+#REF!+#REF!+#REF!+#REF!</f>
        <v>#REF!</v>
      </c>
      <c r="AD36" s="647" t="e">
        <f>+#REF!+#REF!+#REF!+#REF!+#REF!+#REF!</f>
        <v>#REF!</v>
      </c>
      <c r="AE36" s="647" t="e">
        <f>+#REF!+#REF!+#REF!+#REF!+#REF!+#REF!</f>
        <v>#REF!</v>
      </c>
      <c r="AF36" s="647" t="e">
        <f>+#REF!+#REF!+#REF!+#REF!+#REF!+#REF!</f>
        <v>#REF!</v>
      </c>
      <c r="AG36" s="648" t="e">
        <f>+#REF!+#REF!+#REF!+#REF!</f>
        <v>#REF!</v>
      </c>
      <c r="AH36" s="648" t="e">
        <f>+#REF!+#REF!+#REF!+#REF!</f>
        <v>#REF!</v>
      </c>
      <c r="AI36" s="648" t="e">
        <f>+#REF!+#REF!+#REF!+#REF!</f>
        <v>#REF!</v>
      </c>
      <c r="AJ36" s="631" t="e">
        <f t="shared" si="3"/>
        <v>#REF!</v>
      </c>
      <c r="AK36" s="632" t="e">
        <f t="shared" si="4"/>
        <v>#REF!</v>
      </c>
    </row>
    <row r="37" spans="1:37" s="633" customFormat="1" ht="25.5">
      <c r="A37" s="617" t="s">
        <v>133</v>
      </c>
      <c r="B37" s="661" t="s">
        <v>724</v>
      </c>
      <c r="C37" s="617" t="s">
        <v>103</v>
      </c>
      <c r="D37" s="626"/>
      <c r="E37" s="627">
        <f>+E38</f>
        <v>124512.82999999999</v>
      </c>
      <c r="F37" s="627">
        <f t="shared" ref="F37:AF37" si="8">+F38</f>
        <v>123312.82999999999</v>
      </c>
      <c r="G37" s="627">
        <f t="shared" si="8"/>
        <v>0</v>
      </c>
      <c r="H37" s="627">
        <f t="shared" si="8"/>
        <v>0</v>
      </c>
      <c r="I37" s="627">
        <f t="shared" si="8"/>
        <v>0</v>
      </c>
      <c r="J37" s="627">
        <f t="shared" si="8"/>
        <v>64932</v>
      </c>
      <c r="K37" s="627">
        <f t="shared" si="8"/>
        <v>64932</v>
      </c>
      <c r="L37" s="627">
        <f t="shared" si="8"/>
        <v>0</v>
      </c>
      <c r="M37" s="627">
        <f t="shared" si="8"/>
        <v>7392</v>
      </c>
      <c r="N37" s="627" t="e">
        <f t="shared" si="8"/>
        <v>#VALUE!</v>
      </c>
      <c r="O37" s="627">
        <f t="shared" si="8"/>
        <v>5851</v>
      </c>
      <c r="P37" s="627">
        <f t="shared" si="8"/>
        <v>2150</v>
      </c>
      <c r="Q37" s="627">
        <f t="shared" si="8"/>
        <v>1780</v>
      </c>
      <c r="R37" s="627">
        <f t="shared" si="8"/>
        <v>370</v>
      </c>
      <c r="S37" s="627">
        <f t="shared" si="8"/>
        <v>430.07300000000004</v>
      </c>
      <c r="T37" s="627">
        <f t="shared" si="8"/>
        <v>500</v>
      </c>
      <c r="U37" s="627">
        <f t="shared" si="8"/>
        <v>430.07300000000004</v>
      </c>
      <c r="V37" s="627">
        <f t="shared" si="8"/>
        <v>0</v>
      </c>
      <c r="W37" s="627">
        <f t="shared" si="8"/>
        <v>0</v>
      </c>
      <c r="X37" s="627">
        <f t="shared" si="8"/>
        <v>47479.756999999998</v>
      </c>
      <c r="Y37" s="627">
        <f t="shared" si="8"/>
        <v>0</v>
      </c>
      <c r="Z37" s="627">
        <f t="shared" si="8"/>
        <v>0</v>
      </c>
      <c r="AA37" s="627">
        <f t="shared" si="8"/>
        <v>0</v>
      </c>
      <c r="AB37" s="627">
        <f t="shared" si="8"/>
        <v>0</v>
      </c>
      <c r="AC37" s="627">
        <f t="shared" si="8"/>
        <v>0</v>
      </c>
      <c r="AD37" s="627">
        <f t="shared" si="8"/>
        <v>0</v>
      </c>
      <c r="AE37" s="627">
        <f t="shared" si="8"/>
        <v>0</v>
      </c>
      <c r="AF37" s="627">
        <f t="shared" si="8"/>
        <v>0</v>
      </c>
      <c r="AG37" s="662" t="e">
        <f>+AG38+#REF!+#REF!+#REF!+#REF!+#REF!+#REF!+#REF!</f>
        <v>#REF!</v>
      </c>
      <c r="AH37" s="662" t="e">
        <f>+AH38+#REF!+#REF!+#REF!+#REF!+#REF!+#REF!+#REF!</f>
        <v>#REF!</v>
      </c>
      <c r="AI37" s="662" t="e">
        <f>+AI38+#REF!+#REF!+#REF!+#REF!+#REF!+#REF!+#REF!</f>
        <v>#REF!</v>
      </c>
      <c r="AJ37" s="631">
        <f t="shared" si="3"/>
        <v>124012.82999999999</v>
      </c>
      <c r="AK37" s="632">
        <f t="shared" si="4"/>
        <v>1200</v>
      </c>
    </row>
    <row r="38" spans="1:37" s="633" customFormat="1" ht="13.5">
      <c r="A38" s="617" t="s">
        <v>66</v>
      </c>
      <c r="B38" s="663" t="s">
        <v>725</v>
      </c>
      <c r="C38" s="617" t="s">
        <v>103</v>
      </c>
      <c r="D38" s="637"/>
      <c r="E38" s="664">
        <f>+E39+E40+E44+E45+E65+E71+E73</f>
        <v>124512.82999999999</v>
      </c>
      <c r="F38" s="664">
        <f t="shared" ref="F38:AF38" si="9">+F39+F40+F44+F45+F65+F71+F73</f>
        <v>123312.82999999999</v>
      </c>
      <c r="G38" s="664">
        <f t="shared" si="9"/>
        <v>0</v>
      </c>
      <c r="H38" s="664">
        <f t="shared" si="9"/>
        <v>0</v>
      </c>
      <c r="I38" s="664">
        <f t="shared" si="9"/>
        <v>0</v>
      </c>
      <c r="J38" s="664">
        <f t="shared" si="9"/>
        <v>64932</v>
      </c>
      <c r="K38" s="664">
        <f t="shared" si="9"/>
        <v>64932</v>
      </c>
      <c r="L38" s="664">
        <f t="shared" si="9"/>
        <v>0</v>
      </c>
      <c r="M38" s="664">
        <f t="shared" si="9"/>
        <v>7392</v>
      </c>
      <c r="N38" s="664" t="e">
        <f t="shared" si="9"/>
        <v>#VALUE!</v>
      </c>
      <c r="O38" s="664">
        <f t="shared" si="9"/>
        <v>5851</v>
      </c>
      <c r="P38" s="664">
        <f t="shared" si="9"/>
        <v>2150</v>
      </c>
      <c r="Q38" s="664">
        <f t="shared" si="9"/>
        <v>1780</v>
      </c>
      <c r="R38" s="664">
        <f t="shared" si="9"/>
        <v>370</v>
      </c>
      <c r="S38" s="664">
        <f t="shared" si="9"/>
        <v>430.07300000000004</v>
      </c>
      <c r="T38" s="664">
        <f t="shared" si="9"/>
        <v>500</v>
      </c>
      <c r="U38" s="664">
        <f t="shared" si="9"/>
        <v>430.07300000000004</v>
      </c>
      <c r="V38" s="664">
        <f t="shared" si="9"/>
        <v>0</v>
      </c>
      <c r="W38" s="664">
        <f t="shared" si="9"/>
        <v>0</v>
      </c>
      <c r="X38" s="664">
        <f t="shared" si="9"/>
        <v>47479.756999999998</v>
      </c>
      <c r="Y38" s="664">
        <f t="shared" si="9"/>
        <v>0</v>
      </c>
      <c r="Z38" s="664">
        <f t="shared" si="9"/>
        <v>0</v>
      </c>
      <c r="AA38" s="664">
        <f t="shared" si="9"/>
        <v>0</v>
      </c>
      <c r="AB38" s="664">
        <f t="shared" si="9"/>
        <v>0</v>
      </c>
      <c r="AC38" s="664">
        <f t="shared" si="9"/>
        <v>0</v>
      </c>
      <c r="AD38" s="664">
        <f t="shared" si="9"/>
        <v>0</v>
      </c>
      <c r="AE38" s="664">
        <f t="shared" si="9"/>
        <v>0</v>
      </c>
      <c r="AF38" s="664">
        <f t="shared" si="9"/>
        <v>0</v>
      </c>
      <c r="AG38" s="665"/>
      <c r="AH38" s="629"/>
      <c r="AI38" s="666"/>
      <c r="AJ38" s="631">
        <f t="shared" si="3"/>
        <v>124012.82999999999</v>
      </c>
      <c r="AK38" s="632">
        <f t="shared" si="4"/>
        <v>1200</v>
      </c>
    </row>
    <row r="39" spans="1:37" s="641" customFormat="1" ht="22.5" customHeight="1">
      <c r="A39" s="667">
        <v>1</v>
      </c>
      <c r="B39" s="636" t="s">
        <v>156</v>
      </c>
      <c r="C39" s="635" t="s">
        <v>71</v>
      </c>
      <c r="D39" s="635">
        <v>1</v>
      </c>
      <c r="E39" s="668">
        <v>208.75700000000001</v>
      </c>
      <c r="F39" s="668">
        <f>+E39</f>
        <v>208.75700000000001</v>
      </c>
      <c r="G39" s="668">
        <f>+SUM(H39:S39)</f>
        <v>0</v>
      </c>
      <c r="H39" s="668"/>
      <c r="I39" s="668"/>
      <c r="J39" s="668"/>
      <c r="K39" s="668"/>
      <c r="L39" s="668"/>
      <c r="M39" s="668"/>
      <c r="N39" s="668" t="s">
        <v>128</v>
      </c>
      <c r="O39" s="668"/>
      <c r="P39" s="668"/>
      <c r="Q39" s="668"/>
      <c r="R39" s="668"/>
      <c r="S39" s="668"/>
      <c r="T39" s="668">
        <f>+U39+V39+W39</f>
        <v>0</v>
      </c>
      <c r="U39" s="668"/>
      <c r="V39" s="668"/>
      <c r="W39" s="668"/>
      <c r="X39" s="668">
        <v>79.757000000000005</v>
      </c>
      <c r="Y39" s="669"/>
      <c r="Z39" s="670"/>
      <c r="AA39" s="671"/>
      <c r="AB39" s="671"/>
      <c r="AC39" s="671"/>
      <c r="AD39" s="671"/>
      <c r="AE39" s="671"/>
      <c r="AF39" s="671"/>
      <c r="AG39" s="672"/>
      <c r="AH39" s="673"/>
      <c r="AI39" s="674"/>
      <c r="AJ39" s="631">
        <f t="shared" si="3"/>
        <v>208.75700000000001</v>
      </c>
      <c r="AK39" s="632">
        <f t="shared" si="4"/>
        <v>0</v>
      </c>
    </row>
    <row r="40" spans="1:37" s="641" customFormat="1" ht="22.5" customHeight="1">
      <c r="A40" s="667">
        <v>2</v>
      </c>
      <c r="B40" s="675" t="s">
        <v>29</v>
      </c>
      <c r="C40" s="635"/>
      <c r="D40" s="635"/>
      <c r="E40" s="668">
        <f>+SUM(E41:E43)</f>
        <v>39479.072999999997</v>
      </c>
      <c r="F40" s="668">
        <f t="shared" ref="F40:AF40" si="10">+SUM(F41:F43)</f>
        <v>39479.072999999997</v>
      </c>
      <c r="G40" s="668">
        <f t="shared" si="10"/>
        <v>0</v>
      </c>
      <c r="H40" s="668">
        <f t="shared" si="10"/>
        <v>0</v>
      </c>
      <c r="I40" s="668">
        <f t="shared" si="10"/>
        <v>0</v>
      </c>
      <c r="J40" s="668">
        <f t="shared" si="10"/>
        <v>21157</v>
      </c>
      <c r="K40" s="668">
        <f t="shared" si="10"/>
        <v>21157</v>
      </c>
      <c r="L40" s="668">
        <f t="shared" si="10"/>
        <v>0</v>
      </c>
      <c r="M40" s="668">
        <f t="shared" si="10"/>
        <v>5392</v>
      </c>
      <c r="N40" s="668">
        <f t="shared" si="10"/>
        <v>3041</v>
      </c>
      <c r="O40" s="668">
        <f t="shared" si="10"/>
        <v>2351</v>
      </c>
      <c r="P40" s="668">
        <f t="shared" si="10"/>
        <v>0</v>
      </c>
      <c r="Q40" s="668">
        <f t="shared" si="10"/>
        <v>0</v>
      </c>
      <c r="R40" s="668">
        <f t="shared" si="10"/>
        <v>0</v>
      </c>
      <c r="S40" s="668">
        <f t="shared" si="10"/>
        <v>430.07300000000004</v>
      </c>
      <c r="T40" s="668">
        <f t="shared" si="10"/>
        <v>0</v>
      </c>
      <c r="U40" s="668">
        <f t="shared" si="10"/>
        <v>430.07300000000004</v>
      </c>
      <c r="V40" s="668">
        <f t="shared" si="10"/>
        <v>0</v>
      </c>
      <c r="W40" s="668">
        <f t="shared" si="10"/>
        <v>0</v>
      </c>
      <c r="X40" s="668">
        <f t="shared" si="10"/>
        <v>12500</v>
      </c>
      <c r="Y40" s="668">
        <f t="shared" si="10"/>
        <v>0</v>
      </c>
      <c r="Z40" s="668">
        <f t="shared" si="10"/>
        <v>0</v>
      </c>
      <c r="AA40" s="668">
        <f t="shared" si="10"/>
        <v>0</v>
      </c>
      <c r="AB40" s="668">
        <f t="shared" si="10"/>
        <v>0</v>
      </c>
      <c r="AC40" s="668">
        <f t="shared" si="10"/>
        <v>0</v>
      </c>
      <c r="AD40" s="668">
        <f t="shared" si="10"/>
        <v>0</v>
      </c>
      <c r="AE40" s="668">
        <f t="shared" si="10"/>
        <v>0</v>
      </c>
      <c r="AF40" s="668">
        <f t="shared" si="10"/>
        <v>0</v>
      </c>
      <c r="AG40" s="672"/>
      <c r="AH40" s="673"/>
      <c r="AI40" s="674"/>
      <c r="AJ40" s="631">
        <f t="shared" si="3"/>
        <v>39479.072999999997</v>
      </c>
      <c r="AK40" s="632">
        <f t="shared" si="4"/>
        <v>0</v>
      </c>
    </row>
    <row r="41" spans="1:37" s="633" customFormat="1" ht="31.5" customHeight="1">
      <c r="A41" s="657" t="s">
        <v>81</v>
      </c>
      <c r="B41" s="676" t="s">
        <v>726</v>
      </c>
      <c r="C41" s="637" t="s">
        <v>69</v>
      </c>
      <c r="D41" s="637">
        <v>6</v>
      </c>
      <c r="E41" s="677">
        <f>+J41+M41+X41</f>
        <v>26995</v>
      </c>
      <c r="F41" s="677">
        <f>+E41</f>
        <v>26995</v>
      </c>
      <c r="G41" s="677"/>
      <c r="H41" s="677"/>
      <c r="I41" s="677"/>
      <c r="J41" s="678">
        <f>+K41</f>
        <v>12144</v>
      </c>
      <c r="K41" s="678">
        <v>12144</v>
      </c>
      <c r="L41" s="678"/>
      <c r="M41" s="678">
        <f>+O41</f>
        <v>2351</v>
      </c>
      <c r="N41" s="678"/>
      <c r="O41" s="678">
        <v>2351</v>
      </c>
      <c r="P41" s="677"/>
      <c r="Q41" s="677"/>
      <c r="R41" s="677"/>
      <c r="S41" s="677"/>
      <c r="T41" s="677"/>
      <c r="U41" s="677"/>
      <c r="V41" s="677"/>
      <c r="W41" s="677"/>
      <c r="X41" s="677">
        <v>12500</v>
      </c>
      <c r="Y41" s="679"/>
      <c r="Z41" s="680"/>
      <c r="AA41" s="627"/>
      <c r="AB41" s="627"/>
      <c r="AC41" s="627"/>
      <c r="AD41" s="681"/>
      <c r="AE41" s="627"/>
      <c r="AF41" s="627"/>
      <c r="AG41" s="665"/>
      <c r="AH41" s="629"/>
      <c r="AI41" s="666"/>
      <c r="AJ41" s="631">
        <f t="shared" si="3"/>
        <v>26995</v>
      </c>
      <c r="AK41" s="632">
        <f t="shared" si="4"/>
        <v>0</v>
      </c>
    </row>
    <row r="42" spans="1:37" s="688" customFormat="1" ht="22.5" customHeight="1">
      <c r="A42" s="657" t="s">
        <v>81</v>
      </c>
      <c r="B42" s="676" t="s">
        <v>727</v>
      </c>
      <c r="C42" s="637" t="s">
        <v>69</v>
      </c>
      <c r="D42" s="682">
        <v>2.7</v>
      </c>
      <c r="E42" s="677">
        <f>+J42+M42+X42</f>
        <v>10013</v>
      </c>
      <c r="F42" s="677">
        <f>+E42</f>
        <v>10013</v>
      </c>
      <c r="G42" s="677"/>
      <c r="H42" s="677"/>
      <c r="I42" s="677"/>
      <c r="J42" s="677">
        <f>+K42</f>
        <v>9013</v>
      </c>
      <c r="K42" s="677">
        <v>9013</v>
      </c>
      <c r="L42" s="677"/>
      <c r="M42" s="677">
        <v>1000</v>
      </c>
      <c r="N42" s="677">
        <f>+M42</f>
        <v>1000</v>
      </c>
      <c r="O42" s="677"/>
      <c r="P42" s="677"/>
      <c r="Q42" s="677"/>
      <c r="R42" s="677"/>
      <c r="S42" s="677"/>
      <c r="T42" s="677"/>
      <c r="U42" s="677"/>
      <c r="V42" s="677"/>
      <c r="W42" s="677"/>
      <c r="X42" s="677"/>
      <c r="Y42" s="679"/>
      <c r="Z42" s="680"/>
      <c r="AA42" s="683"/>
      <c r="AB42" s="683"/>
      <c r="AC42" s="683"/>
      <c r="AD42" s="683"/>
      <c r="AE42" s="683"/>
      <c r="AF42" s="684"/>
      <c r="AG42" s="685"/>
      <c r="AH42" s="686"/>
      <c r="AI42" s="687"/>
      <c r="AJ42" s="631">
        <f t="shared" si="3"/>
        <v>10013</v>
      </c>
      <c r="AK42" s="632">
        <f t="shared" si="4"/>
        <v>0</v>
      </c>
    </row>
    <row r="43" spans="1:37" s="633" customFormat="1" ht="22.5" customHeight="1">
      <c r="A43" s="657" t="s">
        <v>81</v>
      </c>
      <c r="B43" s="676" t="s">
        <v>182</v>
      </c>
      <c r="C43" s="637" t="s">
        <v>69</v>
      </c>
      <c r="D43" s="637">
        <v>2.5299999999999998</v>
      </c>
      <c r="E43" s="677">
        <f>+M43+U43</f>
        <v>2471.0729999999999</v>
      </c>
      <c r="F43" s="677">
        <f>+E43</f>
        <v>2471.0729999999999</v>
      </c>
      <c r="G43" s="677"/>
      <c r="H43" s="677"/>
      <c r="I43" s="677"/>
      <c r="J43" s="677"/>
      <c r="K43" s="677"/>
      <c r="L43" s="677"/>
      <c r="M43" s="677">
        <f>+N43</f>
        <v>2041</v>
      </c>
      <c r="N43" s="677">
        <v>2041</v>
      </c>
      <c r="O43" s="677"/>
      <c r="P43" s="677"/>
      <c r="Q43" s="677"/>
      <c r="R43" s="677"/>
      <c r="S43" s="677">
        <f>+U43</f>
        <v>430.07300000000004</v>
      </c>
      <c r="T43" s="677"/>
      <c r="U43" s="677">
        <f>35.432+394.641</f>
        <v>430.07300000000004</v>
      </c>
      <c r="V43" s="677"/>
      <c r="W43" s="677"/>
      <c r="X43" s="677"/>
      <c r="Y43" s="679"/>
      <c r="Z43" s="680"/>
      <c r="AA43" s="683"/>
      <c r="AB43" s="683"/>
      <c r="AC43" s="683"/>
      <c r="AD43" s="683"/>
      <c r="AE43" s="683"/>
      <c r="AF43" s="684"/>
      <c r="AG43" s="665"/>
      <c r="AH43" s="629"/>
      <c r="AI43" s="666"/>
      <c r="AJ43" s="631">
        <f t="shared" si="3"/>
        <v>2471.0729999999999</v>
      </c>
      <c r="AK43" s="632">
        <f t="shared" si="4"/>
        <v>0</v>
      </c>
    </row>
    <row r="44" spans="1:37" s="633" customFormat="1" ht="92.25" customHeight="1">
      <c r="A44" s="657">
        <v>2</v>
      </c>
      <c r="B44" s="676" t="s">
        <v>728</v>
      </c>
      <c r="C44" s="637" t="s">
        <v>71</v>
      </c>
      <c r="D44" s="637"/>
      <c r="E44" s="684">
        <f>+J44+O44</f>
        <v>3260</v>
      </c>
      <c r="F44" s="677">
        <f>+E44</f>
        <v>3260</v>
      </c>
      <c r="G44" s="677"/>
      <c r="H44" s="677"/>
      <c r="I44" s="677"/>
      <c r="J44" s="677">
        <f>+K44</f>
        <v>2060</v>
      </c>
      <c r="K44" s="677">
        <v>2060</v>
      </c>
      <c r="L44" s="677"/>
      <c r="M44" s="677"/>
      <c r="N44" s="677"/>
      <c r="O44" s="677">
        <v>1200</v>
      </c>
      <c r="P44" s="677"/>
      <c r="Q44" s="677"/>
      <c r="R44" s="677"/>
      <c r="S44" s="677"/>
      <c r="T44" s="677"/>
      <c r="U44" s="677"/>
      <c r="V44" s="677"/>
      <c r="W44" s="677"/>
      <c r="X44" s="677"/>
      <c r="Y44" s="679"/>
      <c r="Z44" s="680"/>
      <c r="AA44" s="683"/>
      <c r="AB44" s="683"/>
      <c r="AC44" s="683"/>
      <c r="AD44" s="684"/>
      <c r="AE44" s="684"/>
      <c r="AF44" s="684"/>
      <c r="AG44" s="665"/>
      <c r="AH44" s="689"/>
      <c r="AI44" s="666"/>
      <c r="AJ44" s="631">
        <f t="shared" si="3"/>
        <v>3260</v>
      </c>
      <c r="AK44" s="632">
        <f t="shared" si="4"/>
        <v>0</v>
      </c>
    </row>
    <row r="45" spans="1:37" s="641" customFormat="1" ht="22.5" customHeight="1">
      <c r="A45" s="667">
        <v>3</v>
      </c>
      <c r="B45" s="675" t="s">
        <v>75</v>
      </c>
      <c r="C45" s="635"/>
      <c r="D45" s="635"/>
      <c r="E45" s="668">
        <f>+E46+E57</f>
        <v>76895</v>
      </c>
      <c r="F45" s="668">
        <f t="shared" ref="F45:AF45" si="11">+F46+F57</f>
        <v>76895</v>
      </c>
      <c r="G45" s="668">
        <f t="shared" si="11"/>
        <v>0</v>
      </c>
      <c r="H45" s="668">
        <f t="shared" si="11"/>
        <v>0</v>
      </c>
      <c r="I45" s="668">
        <f t="shared" si="11"/>
        <v>0</v>
      </c>
      <c r="J45" s="668">
        <f t="shared" si="11"/>
        <v>41715</v>
      </c>
      <c r="K45" s="668">
        <f t="shared" si="11"/>
        <v>41715</v>
      </c>
      <c r="L45" s="668">
        <f t="shared" si="11"/>
        <v>0</v>
      </c>
      <c r="M45" s="668">
        <f t="shared" si="11"/>
        <v>0</v>
      </c>
      <c r="N45" s="668">
        <f t="shared" si="11"/>
        <v>0</v>
      </c>
      <c r="O45" s="668">
        <f t="shared" si="11"/>
        <v>0</v>
      </c>
      <c r="P45" s="668">
        <f t="shared" si="11"/>
        <v>1580</v>
      </c>
      <c r="Q45" s="668">
        <f t="shared" si="11"/>
        <v>1580</v>
      </c>
      <c r="R45" s="668">
        <f t="shared" si="11"/>
        <v>0</v>
      </c>
      <c r="S45" s="668">
        <f t="shared" si="11"/>
        <v>0</v>
      </c>
      <c r="T45" s="668">
        <f t="shared" si="11"/>
        <v>0</v>
      </c>
      <c r="U45" s="668">
        <f t="shared" si="11"/>
        <v>0</v>
      </c>
      <c r="V45" s="668">
        <f t="shared" si="11"/>
        <v>0</v>
      </c>
      <c r="W45" s="668">
        <f t="shared" si="11"/>
        <v>0</v>
      </c>
      <c r="X45" s="668">
        <f t="shared" si="11"/>
        <v>33600</v>
      </c>
      <c r="Y45" s="668">
        <f t="shared" si="11"/>
        <v>0</v>
      </c>
      <c r="Z45" s="668">
        <f t="shared" si="11"/>
        <v>0</v>
      </c>
      <c r="AA45" s="668">
        <f t="shared" si="11"/>
        <v>0</v>
      </c>
      <c r="AB45" s="668">
        <f t="shared" si="11"/>
        <v>0</v>
      </c>
      <c r="AC45" s="668">
        <f t="shared" si="11"/>
        <v>0</v>
      </c>
      <c r="AD45" s="668">
        <f t="shared" si="11"/>
        <v>0</v>
      </c>
      <c r="AE45" s="668">
        <f t="shared" si="11"/>
        <v>0</v>
      </c>
      <c r="AF45" s="668">
        <f t="shared" si="11"/>
        <v>0</v>
      </c>
      <c r="AG45" s="690">
        <f>+AG46+AG57+AG60</f>
        <v>0</v>
      </c>
      <c r="AH45" s="690">
        <f>+AH46+AH57+AH60</f>
        <v>0</v>
      </c>
      <c r="AI45" s="690">
        <f>+AI46+AI57+AI60</f>
        <v>0</v>
      </c>
      <c r="AJ45" s="631">
        <f t="shared" si="3"/>
        <v>76895</v>
      </c>
      <c r="AK45" s="632">
        <f t="shared" si="4"/>
        <v>0</v>
      </c>
    </row>
    <row r="46" spans="1:37" s="649" customFormat="1" ht="22.5" customHeight="1">
      <c r="A46" s="657" t="s">
        <v>199</v>
      </c>
      <c r="B46" s="676" t="s">
        <v>729</v>
      </c>
      <c r="C46" s="637"/>
      <c r="D46" s="637"/>
      <c r="E46" s="691">
        <f>SUM(E47:E56)</f>
        <v>36098</v>
      </c>
      <c r="F46" s="691">
        <f t="shared" ref="F46:AF46" si="12">SUM(F47:F56)</f>
        <v>36098</v>
      </c>
      <c r="G46" s="691">
        <f t="shared" si="12"/>
        <v>0</v>
      </c>
      <c r="H46" s="691">
        <f t="shared" si="12"/>
        <v>0</v>
      </c>
      <c r="I46" s="691">
        <f t="shared" si="12"/>
        <v>0</v>
      </c>
      <c r="J46" s="691">
        <f t="shared" si="12"/>
        <v>31518</v>
      </c>
      <c r="K46" s="691">
        <f t="shared" si="12"/>
        <v>31518</v>
      </c>
      <c r="L46" s="691">
        <f t="shared" si="12"/>
        <v>0</v>
      </c>
      <c r="M46" s="691">
        <f t="shared" si="12"/>
        <v>0</v>
      </c>
      <c r="N46" s="691">
        <f t="shared" si="12"/>
        <v>0</v>
      </c>
      <c r="O46" s="691">
        <f t="shared" si="12"/>
        <v>0</v>
      </c>
      <c r="P46" s="691">
        <f t="shared" si="12"/>
        <v>1580</v>
      </c>
      <c r="Q46" s="691">
        <f t="shared" si="12"/>
        <v>1580</v>
      </c>
      <c r="R46" s="691">
        <f t="shared" si="12"/>
        <v>0</v>
      </c>
      <c r="S46" s="691">
        <f t="shared" si="12"/>
        <v>0</v>
      </c>
      <c r="T46" s="691">
        <f t="shared" si="12"/>
        <v>0</v>
      </c>
      <c r="U46" s="691">
        <f t="shared" si="12"/>
        <v>0</v>
      </c>
      <c r="V46" s="691">
        <f t="shared" si="12"/>
        <v>0</v>
      </c>
      <c r="W46" s="691">
        <f t="shared" si="12"/>
        <v>0</v>
      </c>
      <c r="X46" s="691">
        <f t="shared" si="12"/>
        <v>3000</v>
      </c>
      <c r="Y46" s="691">
        <f t="shared" si="12"/>
        <v>0</v>
      </c>
      <c r="Z46" s="691">
        <f t="shared" si="12"/>
        <v>0</v>
      </c>
      <c r="AA46" s="691">
        <f t="shared" si="12"/>
        <v>0</v>
      </c>
      <c r="AB46" s="691">
        <f t="shared" si="12"/>
        <v>0</v>
      </c>
      <c r="AC46" s="691">
        <f t="shared" si="12"/>
        <v>0</v>
      </c>
      <c r="AD46" s="691">
        <f t="shared" si="12"/>
        <v>0</v>
      </c>
      <c r="AE46" s="691">
        <f t="shared" si="12"/>
        <v>0</v>
      </c>
      <c r="AF46" s="691">
        <f t="shared" si="12"/>
        <v>0</v>
      </c>
      <c r="AG46" s="692"/>
      <c r="AH46" s="693"/>
      <c r="AI46" s="694"/>
      <c r="AJ46" s="631">
        <f t="shared" si="3"/>
        <v>36098</v>
      </c>
      <c r="AK46" s="632">
        <f t="shared" si="4"/>
        <v>0</v>
      </c>
    </row>
    <row r="47" spans="1:37" s="633" customFormat="1" ht="25.5" customHeight="1">
      <c r="A47" s="657"/>
      <c r="B47" s="676" t="s">
        <v>730</v>
      </c>
      <c r="C47" s="637" t="s">
        <v>71</v>
      </c>
      <c r="D47" s="637">
        <v>1</v>
      </c>
      <c r="E47" s="677">
        <f>+F47</f>
        <v>1580</v>
      </c>
      <c r="F47" s="677">
        <f>+P47</f>
        <v>1580</v>
      </c>
      <c r="G47" s="677"/>
      <c r="H47" s="677"/>
      <c r="I47" s="677"/>
      <c r="J47" s="677"/>
      <c r="K47" s="677"/>
      <c r="L47" s="677"/>
      <c r="M47" s="677"/>
      <c r="N47" s="677"/>
      <c r="O47" s="677"/>
      <c r="P47" s="677">
        <f>+Q47</f>
        <v>1580</v>
      </c>
      <c r="Q47" s="677">
        <v>1580</v>
      </c>
      <c r="R47" s="677"/>
      <c r="S47" s="677"/>
      <c r="T47" s="677"/>
      <c r="U47" s="677"/>
      <c r="V47" s="677"/>
      <c r="W47" s="677"/>
      <c r="X47" s="677"/>
      <c r="Y47" s="679"/>
      <c r="Z47" s="680"/>
      <c r="AA47" s="627"/>
      <c r="AB47" s="627"/>
      <c r="AC47" s="627"/>
      <c r="AD47" s="627"/>
      <c r="AE47" s="627"/>
      <c r="AF47" s="627"/>
      <c r="AG47" s="665"/>
      <c r="AH47" s="689"/>
      <c r="AI47" s="666"/>
      <c r="AJ47" s="631"/>
      <c r="AK47" s="632"/>
    </row>
    <row r="48" spans="1:37" s="633" customFormat="1" ht="25.5" customHeight="1">
      <c r="A48" s="657"/>
      <c r="B48" s="676" t="s">
        <v>731</v>
      </c>
      <c r="C48" s="1521" t="s">
        <v>71</v>
      </c>
      <c r="D48" s="1521">
        <v>1</v>
      </c>
      <c r="E48" s="1514">
        <f>+K48</f>
        <v>31518</v>
      </c>
      <c r="F48" s="1514">
        <f>+E48</f>
        <v>31518</v>
      </c>
      <c r="G48" s="677"/>
      <c r="H48" s="677"/>
      <c r="I48" s="677"/>
      <c r="J48" s="1514">
        <f>+K48</f>
        <v>31518</v>
      </c>
      <c r="K48" s="1514">
        <f>+'[74]Tong hop'!$C$77</f>
        <v>31518</v>
      </c>
      <c r="L48" s="677"/>
      <c r="M48" s="677"/>
      <c r="N48" s="677"/>
      <c r="O48" s="677"/>
      <c r="P48" s="677"/>
      <c r="Q48" s="677"/>
      <c r="R48" s="677"/>
      <c r="S48" s="677"/>
      <c r="T48" s="677"/>
      <c r="U48" s="677"/>
      <c r="V48" s="677"/>
      <c r="W48" s="677"/>
      <c r="X48" s="677"/>
      <c r="Y48" s="679"/>
      <c r="Z48" s="680"/>
      <c r="AA48" s="627"/>
      <c r="AB48" s="627"/>
      <c r="AC48" s="627"/>
      <c r="AD48" s="627"/>
      <c r="AE48" s="627"/>
      <c r="AF48" s="627"/>
      <c r="AG48" s="665"/>
      <c r="AH48" s="689"/>
      <c r="AI48" s="666"/>
      <c r="AJ48" s="631"/>
      <c r="AK48" s="632"/>
    </row>
    <row r="49" spans="1:38" s="633" customFormat="1" ht="25.5" customHeight="1">
      <c r="A49" s="657"/>
      <c r="B49" s="676" t="s">
        <v>732</v>
      </c>
      <c r="C49" s="1522"/>
      <c r="D49" s="1522"/>
      <c r="E49" s="1515"/>
      <c r="F49" s="1515"/>
      <c r="G49" s="677"/>
      <c r="H49" s="677"/>
      <c r="I49" s="677"/>
      <c r="J49" s="1515"/>
      <c r="K49" s="1515"/>
      <c r="L49" s="677"/>
      <c r="M49" s="677"/>
      <c r="N49" s="677"/>
      <c r="O49" s="677"/>
      <c r="P49" s="677"/>
      <c r="Q49" s="677"/>
      <c r="R49" s="677"/>
      <c r="S49" s="677"/>
      <c r="T49" s="677"/>
      <c r="U49" s="677"/>
      <c r="V49" s="677"/>
      <c r="W49" s="677"/>
      <c r="X49" s="677"/>
      <c r="Y49" s="679"/>
      <c r="Z49" s="680"/>
      <c r="AA49" s="627"/>
      <c r="AB49" s="627"/>
      <c r="AC49" s="627"/>
      <c r="AD49" s="627"/>
      <c r="AE49" s="627"/>
      <c r="AF49" s="627"/>
      <c r="AG49" s="665"/>
      <c r="AH49" s="689"/>
      <c r="AI49" s="666"/>
      <c r="AJ49" s="631"/>
      <c r="AK49" s="632"/>
    </row>
    <row r="50" spans="1:38" s="633" customFormat="1" ht="25.5" customHeight="1">
      <c r="A50" s="657"/>
      <c r="B50" s="676" t="s">
        <v>733</v>
      </c>
      <c r="C50" s="1522"/>
      <c r="D50" s="1522"/>
      <c r="E50" s="1515"/>
      <c r="F50" s="1515"/>
      <c r="G50" s="677"/>
      <c r="H50" s="677"/>
      <c r="I50" s="677"/>
      <c r="J50" s="1515"/>
      <c r="K50" s="1515"/>
      <c r="L50" s="677"/>
      <c r="M50" s="677"/>
      <c r="N50" s="677"/>
      <c r="O50" s="677"/>
      <c r="P50" s="677"/>
      <c r="Q50" s="677"/>
      <c r="R50" s="677"/>
      <c r="S50" s="677"/>
      <c r="T50" s="677"/>
      <c r="U50" s="677"/>
      <c r="V50" s="677"/>
      <c r="W50" s="677"/>
      <c r="X50" s="677"/>
      <c r="Y50" s="679"/>
      <c r="Z50" s="680"/>
      <c r="AA50" s="627"/>
      <c r="AB50" s="627"/>
      <c r="AC50" s="627"/>
      <c r="AD50" s="627"/>
      <c r="AE50" s="627"/>
      <c r="AF50" s="627"/>
      <c r="AG50" s="665"/>
      <c r="AH50" s="689"/>
      <c r="AI50" s="666"/>
      <c r="AJ50" s="631"/>
      <c r="AK50" s="632"/>
    </row>
    <row r="51" spans="1:38" s="633" customFormat="1" ht="25.5" customHeight="1">
      <c r="A51" s="657"/>
      <c r="B51" s="676" t="s">
        <v>734</v>
      </c>
      <c r="C51" s="1522"/>
      <c r="D51" s="1522"/>
      <c r="E51" s="1515"/>
      <c r="F51" s="1515"/>
      <c r="G51" s="677"/>
      <c r="H51" s="677"/>
      <c r="I51" s="677"/>
      <c r="J51" s="1515"/>
      <c r="K51" s="1515"/>
      <c r="L51" s="677"/>
      <c r="M51" s="677"/>
      <c r="N51" s="677"/>
      <c r="O51" s="677"/>
      <c r="P51" s="677"/>
      <c r="Q51" s="677"/>
      <c r="R51" s="677"/>
      <c r="S51" s="677"/>
      <c r="T51" s="677"/>
      <c r="U51" s="677"/>
      <c r="V51" s="677"/>
      <c r="W51" s="677"/>
      <c r="X51" s="677"/>
      <c r="Y51" s="679"/>
      <c r="Z51" s="680"/>
      <c r="AA51" s="627"/>
      <c r="AB51" s="627"/>
      <c r="AC51" s="627"/>
      <c r="AD51" s="627"/>
      <c r="AE51" s="627"/>
      <c r="AF51" s="627"/>
      <c r="AG51" s="665"/>
      <c r="AH51" s="689"/>
      <c r="AI51" s="666"/>
      <c r="AJ51" s="631"/>
      <c r="AK51" s="632"/>
    </row>
    <row r="52" spans="1:38" s="633" customFormat="1" ht="25.5" customHeight="1">
      <c r="A52" s="657"/>
      <c r="B52" s="676" t="s">
        <v>735</v>
      </c>
      <c r="C52" s="1523"/>
      <c r="D52" s="1523"/>
      <c r="E52" s="1516"/>
      <c r="F52" s="1516"/>
      <c r="G52" s="677"/>
      <c r="H52" s="677"/>
      <c r="I52" s="677"/>
      <c r="J52" s="1516"/>
      <c r="K52" s="1516"/>
      <c r="L52" s="677"/>
      <c r="M52" s="677"/>
      <c r="N52" s="677"/>
      <c r="O52" s="677"/>
      <c r="P52" s="677"/>
      <c r="Q52" s="677"/>
      <c r="R52" s="677"/>
      <c r="S52" s="677"/>
      <c r="T52" s="677"/>
      <c r="U52" s="677"/>
      <c r="V52" s="677"/>
      <c r="W52" s="677"/>
      <c r="X52" s="677"/>
      <c r="Y52" s="679"/>
      <c r="Z52" s="680"/>
      <c r="AA52" s="627"/>
      <c r="AB52" s="627"/>
      <c r="AC52" s="627"/>
      <c r="AD52" s="627"/>
      <c r="AE52" s="627"/>
      <c r="AF52" s="627"/>
      <c r="AG52" s="665"/>
      <c r="AH52" s="689"/>
      <c r="AI52" s="666"/>
      <c r="AJ52" s="631"/>
      <c r="AK52" s="632"/>
    </row>
    <row r="53" spans="1:38" s="723" customFormat="1" ht="35.25" customHeight="1">
      <c r="A53" s="711"/>
      <c r="B53" s="712" t="s">
        <v>736</v>
      </c>
      <c r="C53" s="713" t="s">
        <v>71</v>
      </c>
      <c r="D53" s="713">
        <v>1</v>
      </c>
      <c r="E53" s="714">
        <f>+X53</f>
        <v>700</v>
      </c>
      <c r="F53" s="714">
        <f>+E53</f>
        <v>700</v>
      </c>
      <c r="G53" s="714"/>
      <c r="H53" s="714"/>
      <c r="I53" s="714"/>
      <c r="J53" s="714"/>
      <c r="K53" s="714"/>
      <c r="L53" s="714"/>
      <c r="M53" s="714"/>
      <c r="N53" s="714"/>
      <c r="O53" s="714"/>
      <c r="P53" s="714"/>
      <c r="Q53" s="714"/>
      <c r="R53" s="714"/>
      <c r="S53" s="714"/>
      <c r="T53" s="714"/>
      <c r="U53" s="714"/>
      <c r="V53" s="714"/>
      <c r="W53" s="714"/>
      <c r="X53" s="714">
        <v>700</v>
      </c>
      <c r="Y53" s="715"/>
      <c r="Z53" s="716"/>
      <c r="AA53" s="717"/>
      <c r="AB53" s="717"/>
      <c r="AC53" s="717"/>
      <c r="AD53" s="717"/>
      <c r="AE53" s="717"/>
      <c r="AF53" s="717"/>
      <c r="AG53" s="718"/>
      <c r="AH53" s="719"/>
      <c r="AI53" s="720"/>
      <c r="AJ53" s="721"/>
      <c r="AK53" s="722"/>
    </row>
    <row r="54" spans="1:38" s="723" customFormat="1" ht="25.5" customHeight="1">
      <c r="A54" s="711"/>
      <c r="B54" s="712" t="s">
        <v>737</v>
      </c>
      <c r="C54" s="713" t="s">
        <v>71</v>
      </c>
      <c r="D54" s="713">
        <v>1</v>
      </c>
      <c r="E54" s="714">
        <f>+X54</f>
        <v>900</v>
      </c>
      <c r="F54" s="714">
        <f>+E54</f>
        <v>900</v>
      </c>
      <c r="G54" s="714"/>
      <c r="H54" s="714"/>
      <c r="I54" s="714"/>
      <c r="J54" s="714"/>
      <c r="K54" s="714"/>
      <c r="L54" s="714"/>
      <c r="M54" s="714"/>
      <c r="N54" s="714"/>
      <c r="O54" s="714"/>
      <c r="P54" s="714"/>
      <c r="Q54" s="714"/>
      <c r="R54" s="714"/>
      <c r="S54" s="714"/>
      <c r="T54" s="714"/>
      <c r="U54" s="714"/>
      <c r="V54" s="714"/>
      <c r="W54" s="714"/>
      <c r="X54" s="714">
        <v>900</v>
      </c>
      <c r="Y54" s="715"/>
      <c r="Z54" s="716"/>
      <c r="AA54" s="717"/>
      <c r="AB54" s="717"/>
      <c r="AC54" s="717"/>
      <c r="AD54" s="717"/>
      <c r="AE54" s="717"/>
      <c r="AF54" s="717"/>
      <c r="AG54" s="718"/>
      <c r="AH54" s="719"/>
      <c r="AI54" s="720"/>
      <c r="AJ54" s="721"/>
      <c r="AK54" s="722"/>
    </row>
    <row r="55" spans="1:38" s="723" customFormat="1" ht="25.5" customHeight="1">
      <c r="A55" s="711"/>
      <c r="B55" s="712" t="s">
        <v>738</v>
      </c>
      <c r="C55" s="713" t="s">
        <v>71</v>
      </c>
      <c r="D55" s="713">
        <v>1</v>
      </c>
      <c r="E55" s="714">
        <f>+X55</f>
        <v>1000</v>
      </c>
      <c r="F55" s="714">
        <f>+E55</f>
        <v>1000</v>
      </c>
      <c r="G55" s="714"/>
      <c r="H55" s="714"/>
      <c r="I55" s="714"/>
      <c r="J55" s="714"/>
      <c r="K55" s="714"/>
      <c r="L55" s="714"/>
      <c r="M55" s="714"/>
      <c r="N55" s="714"/>
      <c r="O55" s="714"/>
      <c r="P55" s="714"/>
      <c r="Q55" s="714"/>
      <c r="R55" s="714"/>
      <c r="S55" s="714"/>
      <c r="T55" s="714"/>
      <c r="U55" s="714"/>
      <c r="V55" s="714"/>
      <c r="W55" s="714"/>
      <c r="X55" s="714">
        <v>1000</v>
      </c>
      <c r="Y55" s="715"/>
      <c r="Z55" s="716"/>
      <c r="AA55" s="717"/>
      <c r="AB55" s="717"/>
      <c r="AC55" s="717"/>
      <c r="AD55" s="717"/>
      <c r="AE55" s="717"/>
      <c r="AF55" s="717"/>
      <c r="AG55" s="718"/>
      <c r="AH55" s="719"/>
      <c r="AI55" s="720"/>
      <c r="AJ55" s="721"/>
      <c r="AK55" s="722"/>
    </row>
    <row r="56" spans="1:38" s="723" customFormat="1" ht="25.5" customHeight="1">
      <c r="A56" s="711"/>
      <c r="B56" s="712" t="s">
        <v>739</v>
      </c>
      <c r="C56" s="713" t="s">
        <v>71</v>
      </c>
      <c r="D56" s="713">
        <v>1</v>
      </c>
      <c r="E56" s="714">
        <f>+X56</f>
        <v>400</v>
      </c>
      <c r="F56" s="714">
        <f>+E56</f>
        <v>400</v>
      </c>
      <c r="G56" s="714"/>
      <c r="H56" s="714"/>
      <c r="I56" s="714"/>
      <c r="J56" s="714"/>
      <c r="K56" s="714"/>
      <c r="L56" s="714"/>
      <c r="M56" s="714"/>
      <c r="N56" s="714"/>
      <c r="O56" s="714"/>
      <c r="P56" s="714"/>
      <c r="Q56" s="714"/>
      <c r="R56" s="714"/>
      <c r="S56" s="714"/>
      <c r="T56" s="714"/>
      <c r="U56" s="714"/>
      <c r="V56" s="714"/>
      <c r="W56" s="714"/>
      <c r="X56" s="714">
        <v>400</v>
      </c>
      <c r="Y56" s="715"/>
      <c r="Z56" s="716"/>
      <c r="AA56" s="717"/>
      <c r="AB56" s="717"/>
      <c r="AC56" s="717"/>
      <c r="AD56" s="717"/>
      <c r="AE56" s="717"/>
      <c r="AF56" s="717"/>
      <c r="AG56" s="718"/>
      <c r="AH56" s="719"/>
      <c r="AI56" s="720"/>
      <c r="AJ56" s="721"/>
      <c r="AK56" s="722"/>
    </row>
    <row r="57" spans="1:38" s="649" customFormat="1" ht="22.5" customHeight="1">
      <c r="A57" s="657" t="s">
        <v>189</v>
      </c>
      <c r="B57" s="676" t="s">
        <v>740</v>
      </c>
      <c r="C57" s="637"/>
      <c r="D57" s="637"/>
      <c r="E57" s="677">
        <f>SUM(E58:E64)</f>
        <v>40797</v>
      </c>
      <c r="F57" s="677">
        <f t="shared" ref="F57:AF57" si="13">SUM(F58:F64)</f>
        <v>40797</v>
      </c>
      <c r="G57" s="677">
        <f t="shared" si="13"/>
        <v>0</v>
      </c>
      <c r="H57" s="677">
        <f t="shared" si="13"/>
        <v>0</v>
      </c>
      <c r="I57" s="677">
        <f t="shared" si="13"/>
        <v>0</v>
      </c>
      <c r="J57" s="677">
        <f t="shared" si="13"/>
        <v>10197</v>
      </c>
      <c r="K57" s="677">
        <f t="shared" si="13"/>
        <v>10197</v>
      </c>
      <c r="L57" s="677">
        <f t="shared" si="13"/>
        <v>0</v>
      </c>
      <c r="M57" s="677">
        <f t="shared" si="13"/>
        <v>0</v>
      </c>
      <c r="N57" s="677">
        <f t="shared" si="13"/>
        <v>0</v>
      </c>
      <c r="O57" s="677">
        <f t="shared" si="13"/>
        <v>0</v>
      </c>
      <c r="P57" s="677">
        <f t="shared" si="13"/>
        <v>0</v>
      </c>
      <c r="Q57" s="677">
        <f t="shared" si="13"/>
        <v>0</v>
      </c>
      <c r="R57" s="677">
        <f t="shared" si="13"/>
        <v>0</v>
      </c>
      <c r="S57" s="677">
        <f t="shared" si="13"/>
        <v>0</v>
      </c>
      <c r="T57" s="677">
        <f t="shared" si="13"/>
        <v>0</v>
      </c>
      <c r="U57" s="677">
        <f t="shared" si="13"/>
        <v>0</v>
      </c>
      <c r="V57" s="677">
        <f t="shared" si="13"/>
        <v>0</v>
      </c>
      <c r="W57" s="677">
        <f t="shared" si="13"/>
        <v>0</v>
      </c>
      <c r="X57" s="677">
        <f t="shared" si="13"/>
        <v>30600</v>
      </c>
      <c r="Y57" s="677">
        <f t="shared" si="13"/>
        <v>0</v>
      </c>
      <c r="Z57" s="677">
        <f t="shared" si="13"/>
        <v>0</v>
      </c>
      <c r="AA57" s="677">
        <f t="shared" si="13"/>
        <v>0</v>
      </c>
      <c r="AB57" s="677">
        <f t="shared" si="13"/>
        <v>0</v>
      </c>
      <c r="AC57" s="677">
        <f t="shared" si="13"/>
        <v>0</v>
      </c>
      <c r="AD57" s="677">
        <f t="shared" si="13"/>
        <v>0</v>
      </c>
      <c r="AE57" s="677">
        <f t="shared" si="13"/>
        <v>0</v>
      </c>
      <c r="AF57" s="677">
        <f t="shared" si="13"/>
        <v>0</v>
      </c>
      <c r="AG57" s="695">
        <f>AG58+AG59</f>
        <v>0</v>
      </c>
      <c r="AH57" s="695">
        <f>AH58+AH59</f>
        <v>0</v>
      </c>
      <c r="AI57" s="695">
        <f>AI58+AI59</f>
        <v>0</v>
      </c>
      <c r="AJ57" s="631">
        <f t="shared" si="3"/>
        <v>40797</v>
      </c>
      <c r="AK57" s="632">
        <f t="shared" si="4"/>
        <v>0</v>
      </c>
    </row>
    <row r="58" spans="1:38" s="633" customFormat="1" ht="39.75" customHeight="1">
      <c r="A58" s="657" t="s">
        <v>81</v>
      </c>
      <c r="B58" s="676" t="s">
        <v>741</v>
      </c>
      <c r="C58" s="637" t="s">
        <v>71</v>
      </c>
      <c r="D58" s="637">
        <v>1</v>
      </c>
      <c r="E58" s="677">
        <f>+J58</f>
        <v>1442</v>
      </c>
      <c r="F58" s="677">
        <f t="shared" ref="F58:F64" si="14">+E58</f>
        <v>1442</v>
      </c>
      <c r="G58" s="677"/>
      <c r="H58" s="677"/>
      <c r="I58" s="677"/>
      <c r="J58" s="677">
        <f>+K58</f>
        <v>1442</v>
      </c>
      <c r="K58" s="677">
        <v>1442</v>
      </c>
      <c r="L58" s="677"/>
      <c r="M58" s="677"/>
      <c r="N58" s="677"/>
      <c r="O58" s="677"/>
      <c r="P58" s="677"/>
      <c r="Q58" s="677"/>
      <c r="R58" s="677"/>
      <c r="S58" s="677"/>
      <c r="T58" s="677"/>
      <c r="U58" s="677"/>
      <c r="V58" s="677"/>
      <c r="W58" s="677"/>
      <c r="X58" s="677"/>
      <c r="Y58" s="679"/>
      <c r="Z58" s="680"/>
      <c r="AA58" s="627"/>
      <c r="AB58" s="627"/>
      <c r="AC58" s="627"/>
      <c r="AD58" s="627"/>
      <c r="AE58" s="627"/>
      <c r="AF58" s="627"/>
      <c r="AG58" s="665"/>
      <c r="AH58" s="629"/>
      <c r="AI58" s="666"/>
      <c r="AJ58" s="631">
        <f t="shared" si="3"/>
        <v>1442</v>
      </c>
      <c r="AK58" s="632">
        <f t="shared" si="4"/>
        <v>0</v>
      </c>
    </row>
    <row r="59" spans="1:38" s="633" customFormat="1" ht="39.75" customHeight="1">
      <c r="A59" s="657" t="s">
        <v>81</v>
      </c>
      <c r="B59" s="676" t="s">
        <v>742</v>
      </c>
      <c r="C59" s="637" t="s">
        <v>71</v>
      </c>
      <c r="D59" s="637">
        <v>1</v>
      </c>
      <c r="E59" s="677">
        <f>+J59</f>
        <v>8755</v>
      </c>
      <c r="F59" s="677">
        <f t="shared" si="14"/>
        <v>8755</v>
      </c>
      <c r="G59" s="677"/>
      <c r="H59" s="677"/>
      <c r="I59" s="677"/>
      <c r="J59" s="677">
        <f>+K59</f>
        <v>8755</v>
      </c>
      <c r="K59" s="677">
        <v>8755</v>
      </c>
      <c r="L59" s="677"/>
      <c r="M59" s="677"/>
      <c r="N59" s="677"/>
      <c r="O59" s="677"/>
      <c r="P59" s="677"/>
      <c r="Q59" s="677"/>
      <c r="R59" s="677"/>
      <c r="S59" s="677"/>
      <c r="T59" s="677"/>
      <c r="U59" s="677"/>
      <c r="V59" s="677"/>
      <c r="W59" s="677"/>
      <c r="X59" s="677"/>
      <c r="Y59" s="679"/>
      <c r="Z59" s="680"/>
      <c r="AA59" s="627"/>
      <c r="AB59" s="627"/>
      <c r="AC59" s="627"/>
      <c r="AD59" s="627"/>
      <c r="AE59" s="627"/>
      <c r="AF59" s="627"/>
      <c r="AG59" s="665"/>
      <c r="AH59" s="629"/>
      <c r="AI59" s="666"/>
      <c r="AJ59" s="631">
        <f t="shared" si="3"/>
        <v>8755</v>
      </c>
      <c r="AK59" s="632">
        <f t="shared" si="4"/>
        <v>0</v>
      </c>
    </row>
    <row r="60" spans="1:38" s="725" customFormat="1" ht="39.75" customHeight="1">
      <c r="A60" s="711" t="s">
        <v>81</v>
      </c>
      <c r="B60" s="712" t="s">
        <v>743</v>
      </c>
      <c r="C60" s="713" t="s">
        <v>71</v>
      </c>
      <c r="D60" s="713">
        <v>1</v>
      </c>
      <c r="E60" s="714">
        <f>+X60</f>
        <v>8000</v>
      </c>
      <c r="F60" s="714">
        <f t="shared" si="14"/>
        <v>8000</v>
      </c>
      <c r="G60" s="714"/>
      <c r="H60" s="714"/>
      <c r="I60" s="714"/>
      <c r="J60" s="714"/>
      <c r="K60" s="714"/>
      <c r="L60" s="714"/>
      <c r="M60" s="714"/>
      <c r="N60" s="714"/>
      <c r="O60" s="714"/>
      <c r="P60" s="714"/>
      <c r="Q60" s="714"/>
      <c r="R60" s="714"/>
      <c r="S60" s="714"/>
      <c r="T60" s="714"/>
      <c r="U60" s="714"/>
      <c r="V60" s="714"/>
      <c r="W60" s="714"/>
      <c r="X60" s="714">
        <v>8000</v>
      </c>
      <c r="Y60" s="714"/>
      <c r="Z60" s="714"/>
      <c r="AA60" s="714"/>
      <c r="AB60" s="714"/>
      <c r="AC60" s="714"/>
      <c r="AD60" s="714"/>
      <c r="AE60" s="714"/>
      <c r="AF60" s="714"/>
      <c r="AG60" s="724">
        <f>+AG61+AG62+AG64</f>
        <v>0</v>
      </c>
      <c r="AH60" s="724">
        <f>+AH61+AH62+AH64</f>
        <v>0</v>
      </c>
      <c r="AI60" s="724">
        <f>+AI61+AI62+AI64</f>
        <v>0</v>
      </c>
      <c r="AJ60" s="721">
        <f t="shared" si="3"/>
        <v>8000</v>
      </c>
      <c r="AK60" s="722">
        <f t="shared" si="4"/>
        <v>0</v>
      </c>
    </row>
    <row r="61" spans="1:38" s="723" customFormat="1" ht="39.75" customHeight="1">
      <c r="A61" s="711" t="s">
        <v>81</v>
      </c>
      <c r="B61" s="712" t="s">
        <v>744</v>
      </c>
      <c r="C61" s="713" t="s">
        <v>71</v>
      </c>
      <c r="D61" s="713">
        <v>1</v>
      </c>
      <c r="E61" s="714">
        <f>+X61</f>
        <v>2000</v>
      </c>
      <c r="F61" s="714">
        <f t="shared" si="14"/>
        <v>2000</v>
      </c>
      <c r="G61" s="714"/>
      <c r="H61" s="714"/>
      <c r="I61" s="714"/>
      <c r="J61" s="714"/>
      <c r="K61" s="714"/>
      <c r="L61" s="714"/>
      <c r="M61" s="714"/>
      <c r="N61" s="714"/>
      <c r="O61" s="714"/>
      <c r="P61" s="714"/>
      <c r="Q61" s="714"/>
      <c r="R61" s="714"/>
      <c r="S61" s="714"/>
      <c r="T61" s="714"/>
      <c r="U61" s="714"/>
      <c r="V61" s="714"/>
      <c r="W61" s="714"/>
      <c r="X61" s="714">
        <v>2000</v>
      </c>
      <c r="Y61" s="715"/>
      <c r="Z61" s="716"/>
      <c r="AA61" s="717"/>
      <c r="AB61" s="717"/>
      <c r="AC61" s="717"/>
      <c r="AD61" s="717"/>
      <c r="AE61" s="717"/>
      <c r="AF61" s="717"/>
      <c r="AG61" s="718"/>
      <c r="AH61" s="726"/>
      <c r="AI61" s="720"/>
      <c r="AJ61" s="721">
        <f t="shared" si="3"/>
        <v>2000</v>
      </c>
      <c r="AK61" s="722">
        <f t="shared" si="4"/>
        <v>0</v>
      </c>
    </row>
    <row r="62" spans="1:38" s="723" customFormat="1" ht="39.75" customHeight="1">
      <c r="A62" s="711" t="s">
        <v>81</v>
      </c>
      <c r="B62" s="712" t="s">
        <v>745</v>
      </c>
      <c r="C62" s="713" t="s">
        <v>71</v>
      </c>
      <c r="D62" s="713">
        <v>1</v>
      </c>
      <c r="E62" s="714">
        <f>+X62</f>
        <v>14000</v>
      </c>
      <c r="F62" s="714">
        <f t="shared" si="14"/>
        <v>14000</v>
      </c>
      <c r="G62" s="714"/>
      <c r="H62" s="714"/>
      <c r="I62" s="714"/>
      <c r="J62" s="714"/>
      <c r="K62" s="714"/>
      <c r="L62" s="714"/>
      <c r="M62" s="714"/>
      <c r="N62" s="714"/>
      <c r="O62" s="714"/>
      <c r="P62" s="714"/>
      <c r="Q62" s="714"/>
      <c r="R62" s="714"/>
      <c r="S62" s="714"/>
      <c r="T62" s="714"/>
      <c r="U62" s="714"/>
      <c r="V62" s="714"/>
      <c r="W62" s="714"/>
      <c r="X62" s="714">
        <v>14000</v>
      </c>
      <c r="Y62" s="715"/>
      <c r="Z62" s="716"/>
      <c r="AA62" s="717"/>
      <c r="AB62" s="717"/>
      <c r="AC62" s="717"/>
      <c r="AD62" s="727"/>
      <c r="AE62" s="717"/>
      <c r="AF62" s="717"/>
      <c r="AG62" s="718"/>
      <c r="AH62" s="726"/>
      <c r="AI62" s="720"/>
      <c r="AJ62" s="721">
        <f t="shared" si="3"/>
        <v>14000</v>
      </c>
      <c r="AK62" s="722">
        <v>9772</v>
      </c>
      <c r="AL62" s="728">
        <f>S62-772</f>
        <v>-772</v>
      </c>
    </row>
    <row r="63" spans="1:38" s="723" customFormat="1" ht="39.75" customHeight="1">
      <c r="A63" s="711" t="s">
        <v>81</v>
      </c>
      <c r="B63" s="712" t="s">
        <v>746</v>
      </c>
      <c r="C63" s="713" t="s">
        <v>71</v>
      </c>
      <c r="D63" s="713">
        <v>1</v>
      </c>
      <c r="E63" s="714">
        <f>+X63</f>
        <v>1600</v>
      </c>
      <c r="F63" s="714">
        <f t="shared" si="14"/>
        <v>1600</v>
      </c>
      <c r="G63" s="714"/>
      <c r="H63" s="714"/>
      <c r="I63" s="714"/>
      <c r="J63" s="714"/>
      <c r="K63" s="714"/>
      <c r="L63" s="714"/>
      <c r="M63" s="714"/>
      <c r="N63" s="714"/>
      <c r="O63" s="714"/>
      <c r="P63" s="714"/>
      <c r="Q63" s="714"/>
      <c r="R63" s="714"/>
      <c r="S63" s="714"/>
      <c r="T63" s="714"/>
      <c r="U63" s="714"/>
      <c r="V63" s="714"/>
      <c r="W63" s="714"/>
      <c r="X63" s="714">
        <v>1600</v>
      </c>
      <c r="Y63" s="715"/>
      <c r="Z63" s="716"/>
      <c r="AA63" s="717"/>
      <c r="AB63" s="717"/>
      <c r="AC63" s="717"/>
      <c r="AD63" s="727"/>
      <c r="AE63" s="717"/>
      <c r="AF63" s="717"/>
      <c r="AG63" s="718"/>
      <c r="AH63" s="726"/>
      <c r="AI63" s="720"/>
      <c r="AJ63" s="721"/>
      <c r="AK63" s="722"/>
      <c r="AL63" s="728"/>
    </row>
    <row r="64" spans="1:38" s="725" customFormat="1" ht="39.75" customHeight="1">
      <c r="A64" s="711" t="s">
        <v>81</v>
      </c>
      <c r="B64" s="712" t="s">
        <v>747</v>
      </c>
      <c r="C64" s="713" t="s">
        <v>71</v>
      </c>
      <c r="D64" s="713">
        <v>1</v>
      </c>
      <c r="E64" s="714">
        <f>+X64</f>
        <v>5000</v>
      </c>
      <c r="F64" s="714">
        <f t="shared" si="14"/>
        <v>5000</v>
      </c>
      <c r="G64" s="714"/>
      <c r="H64" s="714"/>
      <c r="I64" s="714"/>
      <c r="J64" s="714"/>
      <c r="K64" s="714"/>
      <c r="L64" s="714"/>
      <c r="M64" s="714"/>
      <c r="N64" s="714"/>
      <c r="O64" s="714"/>
      <c r="P64" s="714"/>
      <c r="Q64" s="714"/>
      <c r="R64" s="714"/>
      <c r="S64" s="714"/>
      <c r="T64" s="714"/>
      <c r="U64" s="714"/>
      <c r="V64" s="714"/>
      <c r="W64" s="714"/>
      <c r="X64" s="714">
        <v>5000</v>
      </c>
      <c r="Y64" s="715"/>
      <c r="Z64" s="716"/>
      <c r="AA64" s="717"/>
      <c r="AB64" s="717"/>
      <c r="AC64" s="717"/>
      <c r="AD64" s="717"/>
      <c r="AE64" s="717"/>
      <c r="AF64" s="717"/>
      <c r="AG64" s="729"/>
      <c r="AH64" s="730"/>
      <c r="AI64" s="731"/>
      <c r="AJ64" s="721">
        <f t="shared" si="3"/>
        <v>5000</v>
      </c>
      <c r="AK64" s="722">
        <f t="shared" si="4"/>
        <v>0</v>
      </c>
    </row>
    <row r="65" spans="1:37" s="641" customFormat="1" ht="22.5" customHeight="1">
      <c r="A65" s="635">
        <v>4</v>
      </c>
      <c r="B65" s="675" t="s">
        <v>36</v>
      </c>
      <c r="C65" s="635"/>
      <c r="D65" s="635"/>
      <c r="E65" s="668">
        <f>SUM(E66:E70)</f>
        <v>4370</v>
      </c>
      <c r="F65" s="668">
        <f t="shared" ref="F65:AF65" si="15">SUM(F66:F70)</f>
        <v>3170</v>
      </c>
      <c r="G65" s="668">
        <f t="shared" si="15"/>
        <v>0</v>
      </c>
      <c r="H65" s="668">
        <f t="shared" si="15"/>
        <v>0</v>
      </c>
      <c r="I65" s="668">
        <f t="shared" si="15"/>
        <v>0</v>
      </c>
      <c r="J65" s="668">
        <f t="shared" si="15"/>
        <v>0</v>
      </c>
      <c r="K65" s="668">
        <f t="shared" si="15"/>
        <v>0</v>
      </c>
      <c r="L65" s="668">
        <f t="shared" si="15"/>
        <v>0</v>
      </c>
      <c r="M65" s="668">
        <f t="shared" si="15"/>
        <v>2000</v>
      </c>
      <c r="N65" s="668">
        <f t="shared" si="15"/>
        <v>300</v>
      </c>
      <c r="O65" s="668">
        <f t="shared" si="15"/>
        <v>2300</v>
      </c>
      <c r="P65" s="668">
        <f t="shared" si="15"/>
        <v>570</v>
      </c>
      <c r="Q65" s="668">
        <f t="shared" si="15"/>
        <v>200</v>
      </c>
      <c r="R65" s="668">
        <f t="shared" si="15"/>
        <v>370</v>
      </c>
      <c r="S65" s="668">
        <f t="shared" si="15"/>
        <v>0</v>
      </c>
      <c r="T65" s="668">
        <f t="shared" si="15"/>
        <v>500</v>
      </c>
      <c r="U65" s="668">
        <f t="shared" si="15"/>
        <v>0</v>
      </c>
      <c r="V65" s="668">
        <f t="shared" si="15"/>
        <v>0</v>
      </c>
      <c r="W65" s="668">
        <f t="shared" si="15"/>
        <v>0</v>
      </c>
      <c r="X65" s="668">
        <f t="shared" si="15"/>
        <v>1000</v>
      </c>
      <c r="Y65" s="668">
        <f t="shared" si="15"/>
        <v>0</v>
      </c>
      <c r="Z65" s="668">
        <f t="shared" si="15"/>
        <v>0</v>
      </c>
      <c r="AA65" s="668">
        <f t="shared" si="15"/>
        <v>0</v>
      </c>
      <c r="AB65" s="668">
        <f t="shared" si="15"/>
        <v>0</v>
      </c>
      <c r="AC65" s="668">
        <f t="shared" si="15"/>
        <v>0</v>
      </c>
      <c r="AD65" s="668">
        <f t="shared" si="15"/>
        <v>0</v>
      </c>
      <c r="AE65" s="668">
        <f t="shared" si="15"/>
        <v>0</v>
      </c>
      <c r="AF65" s="668">
        <f t="shared" si="15"/>
        <v>0</v>
      </c>
      <c r="AG65" s="690">
        <f>SUM(AG66:AG70)</f>
        <v>0</v>
      </c>
      <c r="AH65" s="690">
        <f>SUM(AH66:AH70)</f>
        <v>0</v>
      </c>
      <c r="AI65" s="690">
        <f>SUM(AI66:AI70)</f>
        <v>0</v>
      </c>
      <c r="AJ65" s="631">
        <f t="shared" si="3"/>
        <v>3870</v>
      </c>
      <c r="AK65" s="632">
        <f t="shared" si="4"/>
        <v>1200</v>
      </c>
    </row>
    <row r="66" spans="1:37" s="649" customFormat="1" ht="22.5" customHeight="1">
      <c r="A66" s="637" t="s">
        <v>70</v>
      </c>
      <c r="B66" s="676" t="s">
        <v>748</v>
      </c>
      <c r="C66" s="637" t="s">
        <v>71</v>
      </c>
      <c r="D66" s="637">
        <v>1</v>
      </c>
      <c r="E66" s="677">
        <f>+M66</f>
        <v>2000</v>
      </c>
      <c r="F66" s="677">
        <f>+E66</f>
        <v>2000</v>
      </c>
      <c r="G66" s="677"/>
      <c r="H66" s="677"/>
      <c r="I66" s="677"/>
      <c r="J66" s="677"/>
      <c r="K66" s="677"/>
      <c r="L66" s="677"/>
      <c r="M66" s="677">
        <f>+O66</f>
        <v>2000</v>
      </c>
      <c r="N66" s="677"/>
      <c r="O66" s="677">
        <v>2000</v>
      </c>
      <c r="P66" s="677"/>
      <c r="Q66" s="677"/>
      <c r="R66" s="677"/>
      <c r="S66" s="677"/>
      <c r="T66" s="677"/>
      <c r="U66" s="677"/>
      <c r="V66" s="677"/>
      <c r="W66" s="677"/>
      <c r="X66" s="677"/>
      <c r="Y66" s="679"/>
      <c r="Z66" s="680"/>
      <c r="AA66" s="681"/>
      <c r="AB66" s="681"/>
      <c r="AC66" s="681"/>
      <c r="AD66" s="681"/>
      <c r="AE66" s="681"/>
      <c r="AF66" s="681"/>
      <c r="AG66" s="692"/>
      <c r="AH66" s="693"/>
      <c r="AI66" s="694"/>
      <c r="AJ66" s="631">
        <f t="shared" si="3"/>
        <v>2000</v>
      </c>
      <c r="AK66" s="632">
        <f t="shared" si="4"/>
        <v>0</v>
      </c>
    </row>
    <row r="67" spans="1:37" s="649" customFormat="1" ht="22.5" customHeight="1">
      <c r="A67" s="637" t="s">
        <v>70</v>
      </c>
      <c r="B67" s="676" t="s">
        <v>749</v>
      </c>
      <c r="C67" s="637" t="s">
        <v>71</v>
      </c>
      <c r="D67" s="637">
        <v>1</v>
      </c>
      <c r="E67" s="677">
        <f>+P67+X67</f>
        <v>1200</v>
      </c>
      <c r="F67" s="677"/>
      <c r="G67" s="677"/>
      <c r="H67" s="677"/>
      <c r="I67" s="677"/>
      <c r="J67" s="677"/>
      <c r="K67" s="677"/>
      <c r="L67" s="677"/>
      <c r="M67" s="677"/>
      <c r="N67" s="677"/>
      <c r="O67" s="677"/>
      <c r="P67" s="677">
        <f>+Q67</f>
        <v>200</v>
      </c>
      <c r="Q67" s="677">
        <v>200</v>
      </c>
      <c r="R67" s="677"/>
      <c r="S67" s="677"/>
      <c r="T67" s="677"/>
      <c r="U67" s="677"/>
      <c r="V67" s="677"/>
      <c r="W67" s="677"/>
      <c r="X67" s="677">
        <v>1000</v>
      </c>
      <c r="Y67" s="679"/>
      <c r="Z67" s="680"/>
      <c r="AA67" s="681"/>
      <c r="AB67" s="681"/>
      <c r="AC67" s="681"/>
      <c r="AD67" s="681"/>
      <c r="AE67" s="681"/>
      <c r="AF67" s="681"/>
      <c r="AG67" s="692"/>
      <c r="AH67" s="693"/>
      <c r="AI67" s="694"/>
      <c r="AJ67" s="631">
        <f t="shared" si="3"/>
        <v>1200</v>
      </c>
      <c r="AK67" s="632">
        <f t="shared" si="4"/>
        <v>1200</v>
      </c>
    </row>
    <row r="68" spans="1:37" s="649" customFormat="1" ht="22.5" customHeight="1">
      <c r="A68" s="637" t="s">
        <v>70</v>
      </c>
      <c r="B68" s="676" t="s">
        <v>750</v>
      </c>
      <c r="C68" s="637" t="s">
        <v>71</v>
      </c>
      <c r="D68" s="637">
        <v>1</v>
      </c>
      <c r="E68" s="677">
        <f>+N68+T68</f>
        <v>800</v>
      </c>
      <c r="F68" s="677">
        <f>+E68</f>
        <v>800</v>
      </c>
      <c r="G68" s="677"/>
      <c r="H68" s="677"/>
      <c r="I68" s="677"/>
      <c r="J68" s="677"/>
      <c r="K68" s="677"/>
      <c r="L68" s="677"/>
      <c r="M68" s="677"/>
      <c r="N68" s="677">
        <f>+O68</f>
        <v>300</v>
      </c>
      <c r="O68" s="677">
        <v>300</v>
      </c>
      <c r="P68" s="677"/>
      <c r="Q68" s="677"/>
      <c r="R68" s="677"/>
      <c r="S68" s="677"/>
      <c r="T68" s="677">
        <v>500</v>
      </c>
      <c r="U68" s="677"/>
      <c r="V68" s="677"/>
      <c r="W68" s="677"/>
      <c r="X68" s="677"/>
      <c r="Y68" s="677"/>
      <c r="Z68" s="677"/>
      <c r="AA68" s="677"/>
      <c r="AB68" s="677"/>
      <c r="AC68" s="677"/>
      <c r="AD68" s="677"/>
      <c r="AE68" s="677"/>
      <c r="AF68" s="677"/>
      <c r="AG68" s="692"/>
      <c r="AH68" s="693"/>
      <c r="AI68" s="694"/>
      <c r="AJ68" s="631">
        <f t="shared" si="3"/>
        <v>300</v>
      </c>
      <c r="AK68" s="632">
        <f t="shared" si="4"/>
        <v>0</v>
      </c>
    </row>
    <row r="69" spans="1:37" s="649" customFormat="1" ht="22.5" customHeight="1">
      <c r="A69" s="637" t="s">
        <v>70</v>
      </c>
      <c r="B69" s="676" t="s">
        <v>751</v>
      </c>
      <c r="C69" s="637" t="s">
        <v>432</v>
      </c>
      <c r="D69" s="637">
        <v>4</v>
      </c>
      <c r="E69" s="677">
        <f>+P69</f>
        <v>260</v>
      </c>
      <c r="F69" s="677">
        <f>+E69</f>
        <v>260</v>
      </c>
      <c r="G69" s="677"/>
      <c r="H69" s="677"/>
      <c r="I69" s="677"/>
      <c r="J69" s="677"/>
      <c r="K69" s="677"/>
      <c r="L69" s="677"/>
      <c r="M69" s="677"/>
      <c r="N69" s="677"/>
      <c r="O69" s="677"/>
      <c r="P69" s="677">
        <f>+R69</f>
        <v>260</v>
      </c>
      <c r="Q69" s="677"/>
      <c r="R69" s="677">
        <f>+(50+15)*D69</f>
        <v>260</v>
      </c>
      <c r="S69" s="677"/>
      <c r="T69" s="677"/>
      <c r="U69" s="677"/>
      <c r="V69" s="677"/>
      <c r="W69" s="677"/>
      <c r="X69" s="677"/>
      <c r="Y69" s="677"/>
      <c r="Z69" s="677"/>
      <c r="AA69" s="677"/>
      <c r="AB69" s="677"/>
      <c r="AC69" s="677"/>
      <c r="AD69" s="677"/>
      <c r="AE69" s="677"/>
      <c r="AF69" s="677"/>
      <c r="AG69" s="692"/>
      <c r="AH69" s="693"/>
      <c r="AI69" s="694"/>
      <c r="AJ69" s="631"/>
      <c r="AK69" s="632"/>
    </row>
    <row r="70" spans="1:37" s="649" customFormat="1" ht="22.5" customHeight="1">
      <c r="A70" s="637" t="s">
        <v>70</v>
      </c>
      <c r="B70" s="676" t="s">
        <v>752</v>
      </c>
      <c r="C70" s="637" t="s">
        <v>77</v>
      </c>
      <c r="D70" s="637">
        <v>1</v>
      </c>
      <c r="E70" s="677">
        <f>+P70</f>
        <v>110</v>
      </c>
      <c r="F70" s="677">
        <f>+E70</f>
        <v>110</v>
      </c>
      <c r="G70" s="677"/>
      <c r="H70" s="677"/>
      <c r="I70" s="677"/>
      <c r="J70" s="677"/>
      <c r="K70" s="677"/>
      <c r="L70" s="677"/>
      <c r="M70" s="677"/>
      <c r="N70" s="677"/>
      <c r="O70" s="677"/>
      <c r="P70" s="677">
        <f>+R70</f>
        <v>110</v>
      </c>
      <c r="Q70" s="677"/>
      <c r="R70" s="677">
        <f>80+30</f>
        <v>110</v>
      </c>
      <c r="S70" s="677"/>
      <c r="T70" s="677"/>
      <c r="U70" s="677"/>
      <c r="V70" s="677"/>
      <c r="W70" s="677"/>
      <c r="X70" s="677"/>
      <c r="Y70" s="679"/>
      <c r="Z70" s="680"/>
      <c r="AA70" s="681"/>
      <c r="AB70" s="681"/>
      <c r="AC70" s="681"/>
      <c r="AD70" s="681"/>
      <c r="AE70" s="681"/>
      <c r="AF70" s="681"/>
      <c r="AG70" s="692"/>
      <c r="AH70" s="693"/>
      <c r="AI70" s="694"/>
      <c r="AJ70" s="631">
        <f t="shared" si="3"/>
        <v>110</v>
      </c>
      <c r="AK70" s="632">
        <f t="shared" si="4"/>
        <v>0</v>
      </c>
    </row>
    <row r="71" spans="1:37" s="641" customFormat="1" ht="22.5" customHeight="1">
      <c r="A71" s="696">
        <v>5</v>
      </c>
      <c r="B71" s="697" t="s">
        <v>83</v>
      </c>
      <c r="C71" s="635"/>
      <c r="D71" s="635"/>
      <c r="E71" s="668">
        <f>+E72</f>
        <v>20</v>
      </c>
      <c r="F71" s="668">
        <f t="shared" ref="F71:AF71" si="16">+F72</f>
        <v>20</v>
      </c>
      <c r="G71" s="668">
        <f t="shared" si="16"/>
        <v>0</v>
      </c>
      <c r="H71" s="668">
        <f t="shared" si="16"/>
        <v>0</v>
      </c>
      <c r="I71" s="668">
        <f t="shared" si="16"/>
        <v>0</v>
      </c>
      <c r="J71" s="668">
        <f t="shared" si="16"/>
        <v>0</v>
      </c>
      <c r="K71" s="668">
        <f t="shared" si="16"/>
        <v>0</v>
      </c>
      <c r="L71" s="668">
        <f t="shared" si="16"/>
        <v>0</v>
      </c>
      <c r="M71" s="668">
        <f t="shared" si="16"/>
        <v>0</v>
      </c>
      <c r="N71" s="668">
        <f t="shared" si="16"/>
        <v>0</v>
      </c>
      <c r="O71" s="668">
        <f t="shared" si="16"/>
        <v>0</v>
      </c>
      <c r="P71" s="668">
        <f t="shared" si="16"/>
        <v>0</v>
      </c>
      <c r="Q71" s="668">
        <f t="shared" si="16"/>
        <v>0</v>
      </c>
      <c r="R71" s="668">
        <f t="shared" si="16"/>
        <v>0</v>
      </c>
      <c r="S71" s="668">
        <f t="shared" si="16"/>
        <v>0</v>
      </c>
      <c r="T71" s="668">
        <f t="shared" si="16"/>
        <v>0</v>
      </c>
      <c r="U71" s="668">
        <f t="shared" si="16"/>
        <v>0</v>
      </c>
      <c r="V71" s="668">
        <f t="shared" si="16"/>
        <v>0</v>
      </c>
      <c r="W71" s="668">
        <f t="shared" si="16"/>
        <v>0</v>
      </c>
      <c r="X71" s="668">
        <f t="shared" si="16"/>
        <v>20</v>
      </c>
      <c r="Y71" s="668">
        <f t="shared" si="16"/>
        <v>0</v>
      </c>
      <c r="Z71" s="668">
        <f t="shared" si="16"/>
        <v>0</v>
      </c>
      <c r="AA71" s="668">
        <f t="shared" si="16"/>
        <v>0</v>
      </c>
      <c r="AB71" s="668">
        <f t="shared" si="16"/>
        <v>0</v>
      </c>
      <c r="AC71" s="668">
        <f t="shared" si="16"/>
        <v>0</v>
      </c>
      <c r="AD71" s="668">
        <f t="shared" si="16"/>
        <v>0</v>
      </c>
      <c r="AE71" s="668">
        <f t="shared" si="16"/>
        <v>0</v>
      </c>
      <c r="AF71" s="668">
        <f t="shared" si="16"/>
        <v>0</v>
      </c>
      <c r="AG71" s="672"/>
      <c r="AH71" s="673"/>
      <c r="AI71" s="674"/>
      <c r="AJ71" s="631">
        <f t="shared" si="3"/>
        <v>20</v>
      </c>
      <c r="AK71" s="632">
        <f t="shared" si="4"/>
        <v>0</v>
      </c>
    </row>
    <row r="72" spans="1:37" s="649" customFormat="1" ht="36" customHeight="1">
      <c r="A72" s="637" t="s">
        <v>70</v>
      </c>
      <c r="B72" s="676" t="s">
        <v>753</v>
      </c>
      <c r="C72" s="637" t="s">
        <v>754</v>
      </c>
      <c r="D72" s="637">
        <v>1</v>
      </c>
      <c r="E72" s="677">
        <f>+X72</f>
        <v>20</v>
      </c>
      <c r="F72" s="677">
        <f>+E72</f>
        <v>20</v>
      </c>
      <c r="G72" s="677"/>
      <c r="H72" s="677"/>
      <c r="I72" s="677"/>
      <c r="J72" s="677"/>
      <c r="K72" s="677"/>
      <c r="L72" s="677"/>
      <c r="M72" s="677"/>
      <c r="N72" s="677"/>
      <c r="O72" s="677"/>
      <c r="P72" s="677"/>
      <c r="Q72" s="677"/>
      <c r="R72" s="677"/>
      <c r="S72" s="677"/>
      <c r="T72" s="677"/>
      <c r="U72" s="677"/>
      <c r="V72" s="677"/>
      <c r="W72" s="678"/>
      <c r="X72" s="678">
        <v>20</v>
      </c>
      <c r="Y72" s="698"/>
      <c r="Z72" s="680"/>
      <c r="AA72" s="681"/>
      <c r="AB72" s="681"/>
      <c r="AC72" s="681"/>
      <c r="AD72" s="681"/>
      <c r="AE72" s="681"/>
      <c r="AF72" s="681"/>
      <c r="AG72" s="692"/>
      <c r="AH72" s="693"/>
      <c r="AI72" s="694"/>
      <c r="AJ72" s="631">
        <f t="shared" si="3"/>
        <v>20</v>
      </c>
      <c r="AK72" s="632">
        <f t="shared" si="4"/>
        <v>0</v>
      </c>
    </row>
    <row r="73" spans="1:37" s="641" customFormat="1" ht="22.5" customHeight="1">
      <c r="A73" s="696">
        <v>6</v>
      </c>
      <c r="B73" s="697" t="s">
        <v>44</v>
      </c>
      <c r="C73" s="635"/>
      <c r="D73" s="635"/>
      <c r="E73" s="668">
        <f>SUM(E74:E75)</f>
        <v>280</v>
      </c>
      <c r="F73" s="668">
        <f t="shared" ref="F73:AF73" si="17">SUM(F74:F75)</f>
        <v>280</v>
      </c>
      <c r="G73" s="668">
        <f t="shared" si="17"/>
        <v>0</v>
      </c>
      <c r="H73" s="668">
        <f t="shared" si="17"/>
        <v>0</v>
      </c>
      <c r="I73" s="668">
        <f t="shared" si="17"/>
        <v>0</v>
      </c>
      <c r="J73" s="668">
        <f t="shared" si="17"/>
        <v>0</v>
      </c>
      <c r="K73" s="668">
        <f t="shared" si="17"/>
        <v>0</v>
      </c>
      <c r="L73" s="668">
        <f t="shared" si="17"/>
        <v>0</v>
      </c>
      <c r="M73" s="668">
        <f t="shared" si="17"/>
        <v>0</v>
      </c>
      <c r="N73" s="668">
        <f t="shared" si="17"/>
        <v>0</v>
      </c>
      <c r="O73" s="668">
        <f t="shared" si="17"/>
        <v>0</v>
      </c>
      <c r="P73" s="668">
        <f t="shared" si="17"/>
        <v>0</v>
      </c>
      <c r="Q73" s="668">
        <f t="shared" si="17"/>
        <v>0</v>
      </c>
      <c r="R73" s="668">
        <f t="shared" si="17"/>
        <v>0</v>
      </c>
      <c r="S73" s="668">
        <f t="shared" si="17"/>
        <v>0</v>
      </c>
      <c r="T73" s="668">
        <f t="shared" si="17"/>
        <v>0</v>
      </c>
      <c r="U73" s="668">
        <f t="shared" si="17"/>
        <v>0</v>
      </c>
      <c r="V73" s="668">
        <f t="shared" si="17"/>
        <v>0</v>
      </c>
      <c r="W73" s="668">
        <f t="shared" si="17"/>
        <v>0</v>
      </c>
      <c r="X73" s="668">
        <f t="shared" si="17"/>
        <v>280</v>
      </c>
      <c r="Y73" s="668">
        <f t="shared" si="17"/>
        <v>0</v>
      </c>
      <c r="Z73" s="668">
        <f t="shared" si="17"/>
        <v>0</v>
      </c>
      <c r="AA73" s="668">
        <f t="shared" si="17"/>
        <v>0</v>
      </c>
      <c r="AB73" s="668">
        <f t="shared" si="17"/>
        <v>0</v>
      </c>
      <c r="AC73" s="668">
        <f t="shared" si="17"/>
        <v>0</v>
      </c>
      <c r="AD73" s="668">
        <f t="shared" si="17"/>
        <v>0</v>
      </c>
      <c r="AE73" s="668">
        <f t="shared" si="17"/>
        <v>0</v>
      </c>
      <c r="AF73" s="668">
        <f t="shared" si="17"/>
        <v>0</v>
      </c>
      <c r="AG73" s="699">
        <f>+AG74</f>
        <v>0</v>
      </c>
      <c r="AH73" s="690">
        <f>+AH74</f>
        <v>0</v>
      </c>
      <c r="AI73" s="690">
        <f>+AI74</f>
        <v>0</v>
      </c>
      <c r="AJ73" s="631">
        <f t="shared" si="3"/>
        <v>280</v>
      </c>
      <c r="AK73" s="632">
        <f t="shared" si="4"/>
        <v>0</v>
      </c>
    </row>
    <row r="74" spans="1:37" s="633" customFormat="1" ht="22.5" customHeight="1">
      <c r="A74" s="637" t="s">
        <v>81</v>
      </c>
      <c r="B74" s="676" t="s">
        <v>755</v>
      </c>
      <c r="C74" s="637" t="s">
        <v>756</v>
      </c>
      <c r="D74" s="637">
        <v>4</v>
      </c>
      <c r="E74" s="677">
        <f>+X74</f>
        <v>80</v>
      </c>
      <c r="F74" s="677">
        <f>+E74</f>
        <v>80</v>
      </c>
      <c r="G74" s="677"/>
      <c r="H74" s="698"/>
      <c r="I74" s="698"/>
      <c r="J74" s="698"/>
      <c r="K74" s="698"/>
      <c r="L74" s="698"/>
      <c r="M74" s="698"/>
      <c r="N74" s="698"/>
      <c r="O74" s="698"/>
      <c r="P74" s="677"/>
      <c r="Q74" s="698"/>
      <c r="R74" s="698"/>
      <c r="S74" s="698"/>
      <c r="T74" s="677"/>
      <c r="U74" s="698"/>
      <c r="V74" s="698"/>
      <c r="W74" s="698"/>
      <c r="X74" s="698">
        <f>20*4</f>
        <v>80</v>
      </c>
      <c r="Y74" s="679"/>
      <c r="Z74" s="680"/>
      <c r="AA74" s="681"/>
      <c r="AB74" s="627"/>
      <c r="AC74" s="627"/>
      <c r="AD74" s="627"/>
      <c r="AE74" s="627"/>
      <c r="AF74" s="627"/>
      <c r="AG74" s="665"/>
      <c r="AH74" s="629"/>
      <c r="AI74" s="666"/>
      <c r="AJ74" s="631">
        <f t="shared" si="3"/>
        <v>80</v>
      </c>
      <c r="AK74" s="632">
        <f t="shared" si="4"/>
        <v>0</v>
      </c>
    </row>
    <row r="75" spans="1:37" s="723" customFormat="1" ht="33" customHeight="1">
      <c r="A75" s="713" t="s">
        <v>81</v>
      </c>
      <c r="B75" s="712" t="s">
        <v>757</v>
      </c>
      <c r="C75" s="713" t="s">
        <v>71</v>
      </c>
      <c r="D75" s="713"/>
      <c r="E75" s="714">
        <f>+X75</f>
        <v>200</v>
      </c>
      <c r="F75" s="714">
        <f>+E75</f>
        <v>200</v>
      </c>
      <c r="G75" s="714"/>
      <c r="H75" s="732"/>
      <c r="I75" s="732"/>
      <c r="J75" s="732"/>
      <c r="K75" s="732"/>
      <c r="L75" s="732"/>
      <c r="M75" s="732"/>
      <c r="N75" s="732"/>
      <c r="O75" s="732"/>
      <c r="P75" s="714"/>
      <c r="Q75" s="732"/>
      <c r="R75" s="732"/>
      <c r="S75" s="732"/>
      <c r="T75" s="714"/>
      <c r="U75" s="732"/>
      <c r="V75" s="732"/>
      <c r="W75" s="732"/>
      <c r="X75" s="732">
        <v>200</v>
      </c>
      <c r="Y75" s="715"/>
      <c r="Z75" s="716"/>
      <c r="AA75" s="727"/>
      <c r="AB75" s="717"/>
      <c r="AC75" s="717"/>
      <c r="AD75" s="717"/>
      <c r="AE75" s="717"/>
      <c r="AF75" s="717"/>
      <c r="AG75" s="718"/>
      <c r="AH75" s="726"/>
      <c r="AI75" s="720"/>
      <c r="AJ75" s="721"/>
      <c r="AK75" s="722"/>
    </row>
    <row r="76" spans="1:37" s="633" customFormat="1" ht="25.5">
      <c r="A76" s="617" t="s">
        <v>140</v>
      </c>
      <c r="B76" s="661" t="s">
        <v>758</v>
      </c>
      <c r="C76" s="617" t="s">
        <v>103</v>
      </c>
      <c r="D76" s="626"/>
      <c r="E76" s="627">
        <f>+E77</f>
        <v>20468</v>
      </c>
      <c r="F76" s="627">
        <f t="shared" ref="F76:AI76" si="18">+F77</f>
        <v>16118</v>
      </c>
      <c r="G76" s="627">
        <f t="shared" si="18"/>
        <v>0</v>
      </c>
      <c r="H76" s="627">
        <f t="shared" si="18"/>
        <v>0</v>
      </c>
      <c r="I76" s="627">
        <f t="shared" si="18"/>
        <v>0</v>
      </c>
      <c r="J76" s="627">
        <f t="shared" si="18"/>
        <v>2000</v>
      </c>
      <c r="K76" s="627">
        <f t="shared" si="18"/>
        <v>0</v>
      </c>
      <c r="L76" s="627">
        <f t="shared" si="18"/>
        <v>2000</v>
      </c>
      <c r="M76" s="627">
        <f t="shared" si="18"/>
        <v>0</v>
      </c>
      <c r="N76" s="627">
        <f t="shared" si="18"/>
        <v>0</v>
      </c>
      <c r="O76" s="627">
        <f t="shared" si="18"/>
        <v>0</v>
      </c>
      <c r="P76" s="627">
        <f t="shared" si="18"/>
        <v>868</v>
      </c>
      <c r="Q76" s="627">
        <f t="shared" si="18"/>
        <v>868</v>
      </c>
      <c r="R76" s="627">
        <f t="shared" si="18"/>
        <v>0</v>
      </c>
      <c r="S76" s="627">
        <f t="shared" si="18"/>
        <v>0</v>
      </c>
      <c r="T76" s="627">
        <f t="shared" si="18"/>
        <v>0</v>
      </c>
      <c r="U76" s="627">
        <f t="shared" si="18"/>
        <v>0</v>
      </c>
      <c r="V76" s="627">
        <f t="shared" si="18"/>
        <v>0</v>
      </c>
      <c r="W76" s="627">
        <f t="shared" si="18"/>
        <v>0</v>
      </c>
      <c r="X76" s="627">
        <f t="shared" si="18"/>
        <v>13250</v>
      </c>
      <c r="Y76" s="627">
        <f t="shared" si="18"/>
        <v>0</v>
      </c>
      <c r="Z76" s="627">
        <f t="shared" si="18"/>
        <v>0</v>
      </c>
      <c r="AA76" s="627">
        <f t="shared" si="18"/>
        <v>0</v>
      </c>
      <c r="AB76" s="627">
        <f t="shared" si="18"/>
        <v>0</v>
      </c>
      <c r="AC76" s="627">
        <f t="shared" si="18"/>
        <v>0</v>
      </c>
      <c r="AD76" s="627">
        <f t="shared" si="18"/>
        <v>0</v>
      </c>
      <c r="AE76" s="627">
        <f t="shared" si="18"/>
        <v>0</v>
      </c>
      <c r="AF76" s="627">
        <f t="shared" si="18"/>
        <v>0</v>
      </c>
      <c r="AG76" s="627" t="e">
        <f t="shared" si="18"/>
        <v>#REF!</v>
      </c>
      <c r="AH76" s="627" t="e">
        <f t="shared" si="18"/>
        <v>#REF!</v>
      </c>
      <c r="AI76" s="627" t="e">
        <f t="shared" si="18"/>
        <v>#REF!</v>
      </c>
      <c r="AJ76" s="631">
        <f t="shared" ref="AJ76:AJ92" si="19">+E76-G76-T76-Y76-Z76-AE76-AF76</f>
        <v>20468</v>
      </c>
      <c r="AK76" s="632">
        <f t="shared" ref="AK76:AK92" si="20">+E76-F76-Y76-Z76-AE76-AF76</f>
        <v>4350</v>
      </c>
    </row>
    <row r="77" spans="1:37" s="633" customFormat="1" ht="13.5">
      <c r="A77" s="617" t="s">
        <v>66</v>
      </c>
      <c r="B77" s="663" t="s">
        <v>759</v>
      </c>
      <c r="C77" s="617" t="s">
        <v>103</v>
      </c>
      <c r="D77" s="637"/>
      <c r="E77" s="664">
        <f>+E78+E79+E82+E89</f>
        <v>20468</v>
      </c>
      <c r="F77" s="664">
        <f t="shared" ref="F77:AF77" si="21">+F78+F79+F82+F89</f>
        <v>16118</v>
      </c>
      <c r="G77" s="664">
        <f t="shared" si="21"/>
        <v>0</v>
      </c>
      <c r="H77" s="664">
        <f t="shared" si="21"/>
        <v>0</v>
      </c>
      <c r="I77" s="664">
        <f t="shared" si="21"/>
        <v>0</v>
      </c>
      <c r="J77" s="664">
        <f t="shared" si="21"/>
        <v>2000</v>
      </c>
      <c r="K77" s="664">
        <f t="shared" si="21"/>
        <v>0</v>
      </c>
      <c r="L77" s="664">
        <f t="shared" si="21"/>
        <v>2000</v>
      </c>
      <c r="M77" s="664">
        <f t="shared" si="21"/>
        <v>0</v>
      </c>
      <c r="N77" s="664">
        <f t="shared" si="21"/>
        <v>0</v>
      </c>
      <c r="O77" s="664">
        <f t="shared" si="21"/>
        <v>0</v>
      </c>
      <c r="P77" s="664">
        <f t="shared" si="21"/>
        <v>868</v>
      </c>
      <c r="Q77" s="664">
        <f t="shared" si="21"/>
        <v>868</v>
      </c>
      <c r="R77" s="664">
        <f t="shared" si="21"/>
        <v>0</v>
      </c>
      <c r="S77" s="664">
        <f t="shared" si="21"/>
        <v>0</v>
      </c>
      <c r="T77" s="664">
        <f t="shared" si="21"/>
        <v>0</v>
      </c>
      <c r="U77" s="664">
        <f t="shared" si="21"/>
        <v>0</v>
      </c>
      <c r="V77" s="664">
        <f t="shared" si="21"/>
        <v>0</v>
      </c>
      <c r="W77" s="664">
        <f t="shared" si="21"/>
        <v>0</v>
      </c>
      <c r="X77" s="664">
        <f t="shared" si="21"/>
        <v>13250</v>
      </c>
      <c r="Y77" s="664">
        <f t="shared" si="21"/>
        <v>0</v>
      </c>
      <c r="Z77" s="664">
        <f t="shared" si="21"/>
        <v>0</v>
      </c>
      <c r="AA77" s="664">
        <f t="shared" si="21"/>
        <v>0</v>
      </c>
      <c r="AB77" s="664">
        <f t="shared" si="21"/>
        <v>0</v>
      </c>
      <c r="AC77" s="664">
        <f t="shared" si="21"/>
        <v>0</v>
      </c>
      <c r="AD77" s="664">
        <f t="shared" si="21"/>
        <v>0</v>
      </c>
      <c r="AE77" s="664">
        <f t="shared" si="21"/>
        <v>0</v>
      </c>
      <c r="AF77" s="664">
        <f t="shared" si="21"/>
        <v>0</v>
      </c>
      <c r="AG77" s="700" t="e">
        <f>+AG78+AG79+AG82+AG89+#REF!</f>
        <v>#REF!</v>
      </c>
      <c r="AH77" s="700" t="e">
        <f>+AH78+AH79+AH82+AH89+#REF!</f>
        <v>#REF!</v>
      </c>
      <c r="AI77" s="700" t="e">
        <f>+AI78+AI79+AI82+AI89+#REF!</f>
        <v>#REF!</v>
      </c>
      <c r="AJ77" s="631">
        <f t="shared" si="19"/>
        <v>20468</v>
      </c>
      <c r="AK77" s="632">
        <f t="shared" si="20"/>
        <v>4350</v>
      </c>
    </row>
    <row r="78" spans="1:37" s="641" customFormat="1" ht="24.75" customHeight="1">
      <c r="A78" s="667">
        <v>1</v>
      </c>
      <c r="B78" s="636" t="s">
        <v>760</v>
      </c>
      <c r="C78" s="635" t="s">
        <v>71</v>
      </c>
      <c r="D78" s="635">
        <v>1</v>
      </c>
      <c r="E78" s="668">
        <f>+X78</f>
        <v>2000</v>
      </c>
      <c r="F78" s="668">
        <f>+E78</f>
        <v>2000</v>
      </c>
      <c r="G78" s="677">
        <f>+H78+I78+P78+S78</f>
        <v>0</v>
      </c>
      <c r="H78" s="668"/>
      <c r="I78" s="668"/>
      <c r="J78" s="668"/>
      <c r="K78" s="668"/>
      <c r="L78" s="668"/>
      <c r="M78" s="668"/>
      <c r="N78" s="668"/>
      <c r="O78" s="668"/>
      <c r="P78" s="677">
        <f>+Q78+R78</f>
        <v>0</v>
      </c>
      <c r="Q78" s="668"/>
      <c r="R78" s="668"/>
      <c r="S78" s="668"/>
      <c r="T78" s="668">
        <f>+U78+V78+W78</f>
        <v>0</v>
      </c>
      <c r="U78" s="668"/>
      <c r="V78" s="668"/>
      <c r="W78" s="668"/>
      <c r="X78" s="668">
        <v>2000</v>
      </c>
      <c r="Y78" s="669"/>
      <c r="Z78" s="670"/>
      <c r="AA78" s="671"/>
      <c r="AB78" s="671"/>
      <c r="AC78" s="671"/>
      <c r="AD78" s="671"/>
      <c r="AE78" s="671"/>
      <c r="AF78" s="671"/>
      <c r="AG78" s="672"/>
      <c r="AH78" s="673"/>
      <c r="AI78" s="674"/>
      <c r="AJ78" s="631">
        <f t="shared" si="19"/>
        <v>2000</v>
      </c>
      <c r="AK78" s="632">
        <f t="shared" si="20"/>
        <v>0</v>
      </c>
    </row>
    <row r="79" spans="1:37" s="641" customFormat="1" ht="24.75" customHeight="1">
      <c r="A79" s="667">
        <v>2</v>
      </c>
      <c r="B79" s="636" t="s">
        <v>29</v>
      </c>
      <c r="C79" s="635"/>
      <c r="D79" s="635"/>
      <c r="E79" s="701">
        <f>SUM(E80:E81)</f>
        <v>3568</v>
      </c>
      <c r="F79" s="701">
        <f t="shared" ref="F79:AI79" si="22">SUM(F80:F81)</f>
        <v>3568</v>
      </c>
      <c r="G79" s="701">
        <f t="shared" si="22"/>
        <v>0</v>
      </c>
      <c r="H79" s="701">
        <f t="shared" si="22"/>
        <v>0</v>
      </c>
      <c r="I79" s="701">
        <f t="shared" si="22"/>
        <v>0</v>
      </c>
      <c r="J79" s="701">
        <f t="shared" si="22"/>
        <v>2000</v>
      </c>
      <c r="K79" s="701">
        <f t="shared" si="22"/>
        <v>0</v>
      </c>
      <c r="L79" s="701">
        <f t="shared" si="22"/>
        <v>2000</v>
      </c>
      <c r="M79" s="701">
        <f t="shared" si="22"/>
        <v>0</v>
      </c>
      <c r="N79" s="701">
        <f t="shared" si="22"/>
        <v>0</v>
      </c>
      <c r="O79" s="701">
        <f t="shared" si="22"/>
        <v>0</v>
      </c>
      <c r="P79" s="701">
        <f t="shared" si="22"/>
        <v>868</v>
      </c>
      <c r="Q79" s="701">
        <f t="shared" si="22"/>
        <v>868</v>
      </c>
      <c r="R79" s="701">
        <f t="shared" si="22"/>
        <v>0</v>
      </c>
      <c r="S79" s="701">
        <f t="shared" si="22"/>
        <v>0</v>
      </c>
      <c r="T79" s="701">
        <f t="shared" si="22"/>
        <v>0</v>
      </c>
      <c r="U79" s="701">
        <f t="shared" si="22"/>
        <v>0</v>
      </c>
      <c r="V79" s="701">
        <f t="shared" si="22"/>
        <v>0</v>
      </c>
      <c r="W79" s="701">
        <f t="shared" si="22"/>
        <v>0</v>
      </c>
      <c r="X79" s="701">
        <f t="shared" si="22"/>
        <v>700</v>
      </c>
      <c r="Y79" s="701">
        <f t="shared" si="22"/>
        <v>0</v>
      </c>
      <c r="Z79" s="701">
        <f t="shared" si="22"/>
        <v>0</v>
      </c>
      <c r="AA79" s="701">
        <f t="shared" si="22"/>
        <v>0</v>
      </c>
      <c r="AB79" s="701">
        <f t="shared" si="22"/>
        <v>0</v>
      </c>
      <c r="AC79" s="701">
        <f t="shared" si="22"/>
        <v>0</v>
      </c>
      <c r="AD79" s="701">
        <f t="shared" si="22"/>
        <v>0</v>
      </c>
      <c r="AE79" s="701">
        <f t="shared" si="22"/>
        <v>0</v>
      </c>
      <c r="AF79" s="701">
        <f t="shared" si="22"/>
        <v>0</v>
      </c>
      <c r="AG79" s="701">
        <f t="shared" si="22"/>
        <v>0</v>
      </c>
      <c r="AH79" s="701">
        <f t="shared" si="22"/>
        <v>0</v>
      </c>
      <c r="AI79" s="701">
        <f t="shared" si="22"/>
        <v>0</v>
      </c>
      <c r="AJ79" s="631">
        <f t="shared" si="19"/>
        <v>3568</v>
      </c>
      <c r="AK79" s="632">
        <f t="shared" si="20"/>
        <v>0</v>
      </c>
    </row>
    <row r="80" spans="1:37" s="688" customFormat="1" ht="24.75" customHeight="1">
      <c r="A80" s="657" t="s">
        <v>81</v>
      </c>
      <c r="B80" s="676" t="s">
        <v>761</v>
      </c>
      <c r="C80" s="637" t="s">
        <v>762</v>
      </c>
      <c r="D80" s="637">
        <v>6.5</v>
      </c>
      <c r="E80" s="677">
        <f>+J80+P80</f>
        <v>2868</v>
      </c>
      <c r="F80" s="677">
        <f>+E80</f>
        <v>2868</v>
      </c>
      <c r="G80" s="677"/>
      <c r="H80" s="668"/>
      <c r="I80" s="668"/>
      <c r="J80" s="668">
        <f>+L80</f>
        <v>2000</v>
      </c>
      <c r="K80" s="668"/>
      <c r="L80" s="668">
        <v>2000</v>
      </c>
      <c r="M80" s="668"/>
      <c r="N80" s="668"/>
      <c r="O80" s="668"/>
      <c r="P80" s="677">
        <f>+Q80</f>
        <v>868</v>
      </c>
      <c r="Q80" s="668">
        <v>868</v>
      </c>
      <c r="R80" s="668"/>
      <c r="S80" s="677"/>
      <c r="T80" s="677"/>
      <c r="U80" s="677"/>
      <c r="V80" s="677"/>
      <c r="W80" s="677"/>
      <c r="X80" s="677"/>
      <c r="Y80" s="679"/>
      <c r="Z80" s="680"/>
      <c r="AA80" s="683"/>
      <c r="AB80" s="683"/>
      <c r="AC80" s="683"/>
      <c r="AD80" s="683"/>
      <c r="AE80" s="683"/>
      <c r="AF80" s="684"/>
      <c r="AG80" s="685"/>
      <c r="AH80" s="686"/>
      <c r="AI80" s="687"/>
      <c r="AJ80" s="631"/>
      <c r="AK80" s="632"/>
    </row>
    <row r="81" spans="1:37" s="688" customFormat="1" ht="24.75" customHeight="1">
      <c r="A81" s="637" t="s">
        <v>70</v>
      </c>
      <c r="B81" s="676" t="s">
        <v>763</v>
      </c>
      <c r="C81" s="637" t="s">
        <v>69</v>
      </c>
      <c r="D81" s="637">
        <v>1.2050000000000001</v>
      </c>
      <c r="E81" s="677">
        <f>+X81</f>
        <v>700</v>
      </c>
      <c r="F81" s="677">
        <f>+E81</f>
        <v>700</v>
      </c>
      <c r="G81" s="677"/>
      <c r="H81" s="668"/>
      <c r="I81" s="668"/>
      <c r="J81" s="702"/>
      <c r="K81" s="668"/>
      <c r="L81" s="668"/>
      <c r="M81" s="668"/>
      <c r="N81" s="668"/>
      <c r="O81" s="668"/>
      <c r="P81" s="677"/>
      <c r="Q81" s="668"/>
      <c r="R81" s="668"/>
      <c r="S81" s="677"/>
      <c r="T81" s="677"/>
      <c r="U81" s="677"/>
      <c r="V81" s="677"/>
      <c r="W81" s="677"/>
      <c r="X81" s="677">
        <v>700</v>
      </c>
      <c r="Y81" s="679"/>
      <c r="Z81" s="680"/>
      <c r="AA81" s="683"/>
      <c r="AB81" s="683"/>
      <c r="AC81" s="683"/>
      <c r="AD81" s="683"/>
      <c r="AE81" s="683"/>
      <c r="AF81" s="684"/>
      <c r="AG81" s="685"/>
      <c r="AH81" s="686"/>
      <c r="AI81" s="687"/>
      <c r="AJ81" s="631"/>
      <c r="AK81" s="632"/>
    </row>
    <row r="82" spans="1:37" s="641" customFormat="1" ht="24.75" customHeight="1">
      <c r="A82" s="703">
        <v>2</v>
      </c>
      <c r="B82" s="675" t="s">
        <v>75</v>
      </c>
      <c r="C82" s="703"/>
      <c r="D82" s="703"/>
      <c r="E82" s="704">
        <f>+E83+E87</f>
        <v>12850</v>
      </c>
      <c r="F82" s="704">
        <f t="shared" ref="F82:AF82" si="23">+F83+F87</f>
        <v>8500</v>
      </c>
      <c r="G82" s="704">
        <f t="shared" si="23"/>
        <v>0</v>
      </c>
      <c r="H82" s="704">
        <f t="shared" si="23"/>
        <v>0</v>
      </c>
      <c r="I82" s="704">
        <f t="shared" si="23"/>
        <v>0</v>
      </c>
      <c r="J82" s="704">
        <f t="shared" si="23"/>
        <v>0</v>
      </c>
      <c r="K82" s="704">
        <f t="shared" si="23"/>
        <v>0</v>
      </c>
      <c r="L82" s="704">
        <f t="shared" si="23"/>
        <v>0</v>
      </c>
      <c r="M82" s="704">
        <f t="shared" si="23"/>
        <v>0</v>
      </c>
      <c r="N82" s="704">
        <f t="shared" si="23"/>
        <v>0</v>
      </c>
      <c r="O82" s="704">
        <f t="shared" si="23"/>
        <v>0</v>
      </c>
      <c r="P82" s="704">
        <f t="shared" si="23"/>
        <v>0</v>
      </c>
      <c r="Q82" s="704">
        <f t="shared" si="23"/>
        <v>0</v>
      </c>
      <c r="R82" s="704">
        <f t="shared" si="23"/>
        <v>0</v>
      </c>
      <c r="S82" s="704">
        <f t="shared" si="23"/>
        <v>0</v>
      </c>
      <c r="T82" s="704">
        <f t="shared" si="23"/>
        <v>0</v>
      </c>
      <c r="U82" s="704">
        <f t="shared" si="23"/>
        <v>0</v>
      </c>
      <c r="V82" s="704">
        <f t="shared" si="23"/>
        <v>0</v>
      </c>
      <c r="W82" s="704">
        <f t="shared" si="23"/>
        <v>0</v>
      </c>
      <c r="X82" s="704">
        <f t="shared" si="23"/>
        <v>8500</v>
      </c>
      <c r="Y82" s="704">
        <f t="shared" si="23"/>
        <v>0</v>
      </c>
      <c r="Z82" s="704">
        <f t="shared" si="23"/>
        <v>0</v>
      </c>
      <c r="AA82" s="704">
        <f t="shared" si="23"/>
        <v>0</v>
      </c>
      <c r="AB82" s="704">
        <f t="shared" si="23"/>
        <v>0</v>
      </c>
      <c r="AC82" s="704">
        <f t="shared" si="23"/>
        <v>0</v>
      </c>
      <c r="AD82" s="704">
        <f t="shared" si="23"/>
        <v>0</v>
      </c>
      <c r="AE82" s="704">
        <f t="shared" si="23"/>
        <v>0</v>
      </c>
      <c r="AF82" s="704">
        <f t="shared" si="23"/>
        <v>0</v>
      </c>
      <c r="AG82" s="705"/>
      <c r="AH82" s="705"/>
      <c r="AJ82" s="631">
        <f t="shared" si="19"/>
        <v>12850</v>
      </c>
      <c r="AK82" s="632">
        <f t="shared" si="20"/>
        <v>4350</v>
      </c>
    </row>
    <row r="83" spans="1:37" s="741" customFormat="1" ht="24.75" customHeight="1">
      <c r="A83" s="733" t="s">
        <v>467</v>
      </c>
      <c r="B83" s="734" t="s">
        <v>764</v>
      </c>
      <c r="C83" s="735" t="s">
        <v>71</v>
      </c>
      <c r="D83" s="735"/>
      <c r="E83" s="736">
        <f>SUM(E84:E86)</f>
        <v>4350</v>
      </c>
      <c r="F83" s="736"/>
      <c r="G83" s="736"/>
      <c r="H83" s="737"/>
      <c r="I83" s="737"/>
      <c r="J83" s="737"/>
      <c r="K83" s="737"/>
      <c r="L83" s="737"/>
      <c r="M83" s="737"/>
      <c r="N83" s="737"/>
      <c r="O83" s="737"/>
      <c r="P83" s="736"/>
      <c r="Q83" s="737"/>
      <c r="R83" s="737"/>
      <c r="S83" s="738"/>
      <c r="T83" s="736"/>
      <c r="U83" s="738"/>
      <c r="V83" s="738"/>
      <c r="W83" s="738"/>
      <c r="X83" s="738"/>
      <c r="Y83" s="739"/>
      <c r="Z83" s="736"/>
      <c r="AA83" s="736"/>
      <c r="AB83" s="736"/>
      <c r="AC83" s="736"/>
      <c r="AD83" s="736"/>
      <c r="AE83" s="736"/>
      <c r="AF83" s="736"/>
      <c r="AG83" s="740"/>
      <c r="AH83" s="740"/>
      <c r="AJ83" s="742">
        <f t="shared" si="19"/>
        <v>4350</v>
      </c>
      <c r="AK83" s="743">
        <f t="shared" si="20"/>
        <v>4350</v>
      </c>
    </row>
    <row r="84" spans="1:37" s="741" customFormat="1" ht="29.25" customHeight="1">
      <c r="A84" s="733" t="s">
        <v>70</v>
      </c>
      <c r="B84" s="734" t="s">
        <v>765</v>
      </c>
      <c r="C84" s="735" t="s">
        <v>71</v>
      </c>
      <c r="D84" s="735">
        <v>3</v>
      </c>
      <c r="E84" s="736">
        <f>+X84</f>
        <v>2100</v>
      </c>
      <c r="F84" s="736">
        <f>+E84</f>
        <v>2100</v>
      </c>
      <c r="G84" s="736"/>
      <c r="H84" s="737"/>
      <c r="I84" s="737"/>
      <c r="J84" s="737"/>
      <c r="K84" s="737"/>
      <c r="L84" s="737"/>
      <c r="M84" s="737"/>
      <c r="N84" s="737"/>
      <c r="O84" s="737"/>
      <c r="P84" s="736"/>
      <c r="Q84" s="737"/>
      <c r="R84" s="737"/>
      <c r="S84" s="738"/>
      <c r="T84" s="736"/>
      <c r="U84" s="738"/>
      <c r="V84" s="738"/>
      <c r="W84" s="738"/>
      <c r="X84" s="738">
        <v>2100</v>
      </c>
      <c r="Y84" s="739"/>
      <c r="Z84" s="736"/>
      <c r="AA84" s="736"/>
      <c r="AB84" s="736"/>
      <c r="AC84" s="736"/>
      <c r="AD84" s="736"/>
      <c r="AE84" s="736"/>
      <c r="AF84" s="736"/>
      <c r="AG84" s="740"/>
      <c r="AH84" s="740"/>
      <c r="AJ84" s="742"/>
      <c r="AK84" s="743"/>
    </row>
    <row r="85" spans="1:37" s="741" customFormat="1" ht="24.75" customHeight="1">
      <c r="A85" s="733" t="s">
        <v>70</v>
      </c>
      <c r="B85" s="734" t="s">
        <v>766</v>
      </c>
      <c r="C85" s="735" t="s">
        <v>71</v>
      </c>
      <c r="D85" s="735">
        <v>5</v>
      </c>
      <c r="E85" s="736">
        <f>+X85</f>
        <v>1250</v>
      </c>
      <c r="F85" s="736">
        <f>+E85</f>
        <v>1250</v>
      </c>
      <c r="G85" s="736"/>
      <c r="H85" s="737"/>
      <c r="I85" s="737"/>
      <c r="J85" s="737"/>
      <c r="K85" s="737"/>
      <c r="L85" s="737"/>
      <c r="M85" s="737"/>
      <c r="N85" s="737"/>
      <c r="O85" s="737"/>
      <c r="P85" s="736"/>
      <c r="Q85" s="737"/>
      <c r="R85" s="737"/>
      <c r="S85" s="738"/>
      <c r="T85" s="736"/>
      <c r="U85" s="738"/>
      <c r="V85" s="738"/>
      <c r="W85" s="738"/>
      <c r="X85" s="738">
        <v>1250</v>
      </c>
      <c r="Y85" s="739"/>
      <c r="Z85" s="736"/>
      <c r="AA85" s="736"/>
      <c r="AB85" s="736"/>
      <c r="AC85" s="736"/>
      <c r="AD85" s="736"/>
      <c r="AE85" s="736"/>
      <c r="AF85" s="736"/>
      <c r="AG85" s="740"/>
      <c r="AH85" s="740"/>
      <c r="AJ85" s="742"/>
      <c r="AK85" s="743"/>
    </row>
    <row r="86" spans="1:37" s="741" customFormat="1" ht="24.75" customHeight="1">
      <c r="A86" s="733" t="s">
        <v>70</v>
      </c>
      <c r="B86" s="734" t="s">
        <v>767</v>
      </c>
      <c r="C86" s="735" t="s">
        <v>768</v>
      </c>
      <c r="D86" s="735">
        <v>5</v>
      </c>
      <c r="E86" s="736">
        <f>+X86</f>
        <v>1000</v>
      </c>
      <c r="F86" s="736">
        <f>+E86</f>
        <v>1000</v>
      </c>
      <c r="G86" s="736"/>
      <c r="H86" s="737"/>
      <c r="I86" s="737"/>
      <c r="J86" s="737"/>
      <c r="K86" s="737"/>
      <c r="L86" s="737"/>
      <c r="M86" s="737"/>
      <c r="N86" s="737"/>
      <c r="O86" s="737"/>
      <c r="P86" s="736"/>
      <c r="Q86" s="737"/>
      <c r="R86" s="737"/>
      <c r="S86" s="738"/>
      <c r="T86" s="736"/>
      <c r="U86" s="738"/>
      <c r="V86" s="738"/>
      <c r="W86" s="738"/>
      <c r="X86" s="738">
        <v>1000</v>
      </c>
      <c r="Y86" s="739"/>
      <c r="Z86" s="736"/>
      <c r="AA86" s="736"/>
      <c r="AB86" s="736"/>
      <c r="AC86" s="736"/>
      <c r="AD86" s="736"/>
      <c r="AE86" s="736"/>
      <c r="AF86" s="736"/>
      <c r="AG86" s="740"/>
      <c r="AH86" s="740"/>
      <c r="AJ86" s="742"/>
      <c r="AK86" s="743"/>
    </row>
    <row r="87" spans="1:37" s="741" customFormat="1" ht="24.75" customHeight="1">
      <c r="A87" s="733" t="s">
        <v>468</v>
      </c>
      <c r="B87" s="734" t="s">
        <v>769</v>
      </c>
      <c r="C87" s="735"/>
      <c r="D87" s="735"/>
      <c r="E87" s="736">
        <f>+E88</f>
        <v>8500</v>
      </c>
      <c r="F87" s="736">
        <f t="shared" ref="F87:AF87" si="24">+F88</f>
        <v>8500</v>
      </c>
      <c r="G87" s="736">
        <f t="shared" si="24"/>
        <v>0</v>
      </c>
      <c r="H87" s="736">
        <f t="shared" si="24"/>
        <v>0</v>
      </c>
      <c r="I87" s="736">
        <f t="shared" si="24"/>
        <v>0</v>
      </c>
      <c r="J87" s="736">
        <f t="shared" si="24"/>
        <v>0</v>
      </c>
      <c r="K87" s="736">
        <f t="shared" si="24"/>
        <v>0</v>
      </c>
      <c r="L87" s="736">
        <f t="shared" si="24"/>
        <v>0</v>
      </c>
      <c r="M87" s="736">
        <f t="shared" si="24"/>
        <v>0</v>
      </c>
      <c r="N87" s="736">
        <f t="shared" si="24"/>
        <v>0</v>
      </c>
      <c r="O87" s="736">
        <f t="shared" si="24"/>
        <v>0</v>
      </c>
      <c r="P87" s="736">
        <f t="shared" si="24"/>
        <v>0</v>
      </c>
      <c r="Q87" s="736">
        <f t="shared" si="24"/>
        <v>0</v>
      </c>
      <c r="R87" s="736">
        <f t="shared" si="24"/>
        <v>0</v>
      </c>
      <c r="S87" s="736">
        <f t="shared" si="24"/>
        <v>0</v>
      </c>
      <c r="T87" s="736">
        <f t="shared" si="24"/>
        <v>0</v>
      </c>
      <c r="U87" s="736">
        <f t="shared" si="24"/>
        <v>0</v>
      </c>
      <c r="V87" s="736">
        <f t="shared" si="24"/>
        <v>0</v>
      </c>
      <c r="W87" s="736">
        <f t="shared" si="24"/>
        <v>0</v>
      </c>
      <c r="X87" s="736">
        <f t="shared" si="24"/>
        <v>8500</v>
      </c>
      <c r="Y87" s="736">
        <f t="shared" si="24"/>
        <v>0</v>
      </c>
      <c r="Z87" s="736">
        <f t="shared" si="24"/>
        <v>0</v>
      </c>
      <c r="AA87" s="736">
        <f t="shared" si="24"/>
        <v>0</v>
      </c>
      <c r="AB87" s="736">
        <f t="shared" si="24"/>
        <v>0</v>
      </c>
      <c r="AC87" s="736">
        <f t="shared" si="24"/>
        <v>0</v>
      </c>
      <c r="AD87" s="736">
        <f t="shared" si="24"/>
        <v>0</v>
      </c>
      <c r="AE87" s="736">
        <f t="shared" si="24"/>
        <v>0</v>
      </c>
      <c r="AF87" s="736">
        <f t="shared" si="24"/>
        <v>0</v>
      </c>
      <c r="AG87" s="740"/>
      <c r="AH87" s="740"/>
      <c r="AJ87" s="742">
        <f t="shared" si="19"/>
        <v>8500</v>
      </c>
      <c r="AK87" s="743">
        <f t="shared" si="20"/>
        <v>0</v>
      </c>
    </row>
    <row r="88" spans="1:37" s="741" customFormat="1" ht="31.5" customHeight="1">
      <c r="A88" s="744" t="s">
        <v>81</v>
      </c>
      <c r="B88" s="734" t="s">
        <v>770</v>
      </c>
      <c r="C88" s="735" t="s">
        <v>71</v>
      </c>
      <c r="D88" s="735">
        <v>1</v>
      </c>
      <c r="E88" s="736">
        <f>+X88</f>
        <v>8500</v>
      </c>
      <c r="F88" s="736">
        <f>+E88</f>
        <v>8500</v>
      </c>
      <c r="G88" s="736"/>
      <c r="H88" s="737"/>
      <c r="I88" s="737"/>
      <c r="J88" s="737"/>
      <c r="K88" s="737"/>
      <c r="L88" s="737"/>
      <c r="M88" s="737"/>
      <c r="N88" s="737"/>
      <c r="O88" s="737"/>
      <c r="P88" s="736"/>
      <c r="Q88" s="737"/>
      <c r="R88" s="737"/>
      <c r="S88" s="738"/>
      <c r="T88" s="736"/>
      <c r="U88" s="738"/>
      <c r="V88" s="738"/>
      <c r="W88" s="738"/>
      <c r="X88" s="738">
        <v>8500</v>
      </c>
      <c r="Y88" s="739"/>
      <c r="Z88" s="736"/>
      <c r="AA88" s="736"/>
      <c r="AB88" s="736"/>
      <c r="AC88" s="736"/>
      <c r="AD88" s="736"/>
      <c r="AE88" s="736"/>
      <c r="AF88" s="736"/>
      <c r="AG88" s="740"/>
      <c r="AH88" s="740"/>
      <c r="AJ88" s="742"/>
      <c r="AK88" s="743"/>
    </row>
    <row r="89" spans="1:37" s="749" customFormat="1" ht="24.75" customHeight="1">
      <c r="A89" s="745">
        <v>3</v>
      </c>
      <c r="B89" s="746" t="s">
        <v>771</v>
      </c>
      <c r="C89" s="745"/>
      <c r="D89" s="745"/>
      <c r="E89" s="747">
        <f>SUM(E90:E92)</f>
        <v>2050</v>
      </c>
      <c r="F89" s="747">
        <f t="shared" ref="F89:AF89" si="25">SUM(F90:F92)</f>
        <v>2050</v>
      </c>
      <c r="G89" s="747">
        <f t="shared" si="25"/>
        <v>0</v>
      </c>
      <c r="H89" s="747">
        <f t="shared" si="25"/>
        <v>0</v>
      </c>
      <c r="I89" s="747">
        <f t="shared" si="25"/>
        <v>0</v>
      </c>
      <c r="J89" s="747">
        <f t="shared" si="25"/>
        <v>0</v>
      </c>
      <c r="K89" s="747">
        <f t="shared" si="25"/>
        <v>0</v>
      </c>
      <c r="L89" s="747">
        <f t="shared" si="25"/>
        <v>0</v>
      </c>
      <c r="M89" s="747">
        <f t="shared" si="25"/>
        <v>0</v>
      </c>
      <c r="N89" s="747">
        <f t="shared" si="25"/>
        <v>0</v>
      </c>
      <c r="O89" s="747">
        <f t="shared" si="25"/>
        <v>0</v>
      </c>
      <c r="P89" s="747">
        <f t="shared" si="25"/>
        <v>0</v>
      </c>
      <c r="Q89" s="747">
        <f t="shared" si="25"/>
        <v>0</v>
      </c>
      <c r="R89" s="747">
        <f t="shared" si="25"/>
        <v>0</v>
      </c>
      <c r="S89" s="747">
        <f t="shared" si="25"/>
        <v>0</v>
      </c>
      <c r="T89" s="747">
        <f t="shared" si="25"/>
        <v>0</v>
      </c>
      <c r="U89" s="747">
        <f t="shared" si="25"/>
        <v>0</v>
      </c>
      <c r="V89" s="747">
        <f t="shared" si="25"/>
        <v>0</v>
      </c>
      <c r="W89" s="747">
        <f t="shared" si="25"/>
        <v>0</v>
      </c>
      <c r="X89" s="747">
        <f t="shared" si="25"/>
        <v>2050</v>
      </c>
      <c r="Y89" s="747">
        <f t="shared" si="25"/>
        <v>0</v>
      </c>
      <c r="Z89" s="747">
        <f t="shared" si="25"/>
        <v>0</v>
      </c>
      <c r="AA89" s="747">
        <f t="shared" si="25"/>
        <v>0</v>
      </c>
      <c r="AB89" s="747">
        <f t="shared" si="25"/>
        <v>0</v>
      </c>
      <c r="AC89" s="747">
        <f t="shared" si="25"/>
        <v>0</v>
      </c>
      <c r="AD89" s="747">
        <f t="shared" si="25"/>
        <v>0</v>
      </c>
      <c r="AE89" s="747">
        <f t="shared" si="25"/>
        <v>0</v>
      </c>
      <c r="AF89" s="747">
        <f t="shared" si="25"/>
        <v>0</v>
      </c>
      <c r="AG89" s="748" t="e">
        <f>+AG90+AG91+AG92+#REF!+#REF!</f>
        <v>#REF!</v>
      </c>
      <c r="AH89" s="748" t="e">
        <f>+AH90+AH91+AH92+#REF!+#REF!</f>
        <v>#REF!</v>
      </c>
      <c r="AI89" s="748" t="e">
        <f>+AI90+AI91+AI92+#REF!+#REF!</f>
        <v>#REF!</v>
      </c>
      <c r="AJ89" s="721">
        <f t="shared" si="19"/>
        <v>2050</v>
      </c>
      <c r="AK89" s="722">
        <f t="shared" si="20"/>
        <v>0</v>
      </c>
    </row>
    <row r="90" spans="1:37" s="725" customFormat="1" ht="24.75" customHeight="1">
      <c r="A90" s="750" t="s">
        <v>81</v>
      </c>
      <c r="B90" s="712" t="s">
        <v>772</v>
      </c>
      <c r="C90" s="751" t="s">
        <v>762</v>
      </c>
      <c r="D90" s="751">
        <v>0.3</v>
      </c>
      <c r="E90" s="752">
        <f>+X90</f>
        <v>800</v>
      </c>
      <c r="F90" s="714">
        <f>+E90</f>
        <v>800</v>
      </c>
      <c r="G90" s="714"/>
      <c r="H90" s="753"/>
      <c r="I90" s="753"/>
      <c r="J90" s="753"/>
      <c r="K90" s="753"/>
      <c r="L90" s="753"/>
      <c r="M90" s="753"/>
      <c r="N90" s="753"/>
      <c r="O90" s="753"/>
      <c r="P90" s="714"/>
      <c r="Q90" s="753"/>
      <c r="R90" s="753"/>
      <c r="S90" s="727"/>
      <c r="T90" s="714"/>
      <c r="U90" s="727"/>
      <c r="V90" s="727"/>
      <c r="W90" s="727"/>
      <c r="X90" s="727">
        <v>800</v>
      </c>
      <c r="Y90" s="754"/>
      <c r="Z90" s="714"/>
      <c r="AA90" s="714"/>
      <c r="AB90" s="714"/>
      <c r="AC90" s="714"/>
      <c r="AD90" s="714"/>
      <c r="AE90" s="714"/>
      <c r="AF90" s="714"/>
      <c r="AG90" s="755"/>
      <c r="AH90" s="755"/>
      <c r="AJ90" s="721">
        <f t="shared" si="19"/>
        <v>800</v>
      </c>
      <c r="AK90" s="722">
        <f t="shared" si="20"/>
        <v>0</v>
      </c>
    </row>
    <row r="91" spans="1:37" s="725" customFormat="1" ht="24.75" customHeight="1">
      <c r="A91" s="713" t="s">
        <v>70</v>
      </c>
      <c r="B91" s="712" t="s">
        <v>773</v>
      </c>
      <c r="C91" s="713" t="s">
        <v>71</v>
      </c>
      <c r="D91" s="713">
        <v>1</v>
      </c>
      <c r="E91" s="752">
        <f>+X91</f>
        <v>450</v>
      </c>
      <c r="F91" s="714">
        <f>+E91</f>
        <v>450</v>
      </c>
      <c r="G91" s="714"/>
      <c r="H91" s="753"/>
      <c r="I91" s="753"/>
      <c r="J91" s="753"/>
      <c r="K91" s="753"/>
      <c r="L91" s="753"/>
      <c r="M91" s="753"/>
      <c r="N91" s="753"/>
      <c r="O91" s="753"/>
      <c r="P91" s="714"/>
      <c r="Q91" s="753"/>
      <c r="R91" s="753"/>
      <c r="S91" s="714"/>
      <c r="T91" s="714"/>
      <c r="U91" s="714"/>
      <c r="V91" s="714"/>
      <c r="W91" s="714"/>
      <c r="X91" s="714">
        <v>450</v>
      </c>
      <c r="Y91" s="714"/>
      <c r="Z91" s="714"/>
      <c r="AA91" s="714"/>
      <c r="AB91" s="714"/>
      <c r="AC91" s="714"/>
      <c r="AD91" s="714"/>
      <c r="AE91" s="714"/>
      <c r="AF91" s="714"/>
      <c r="AG91" s="729"/>
      <c r="AH91" s="730"/>
      <c r="AI91" s="731"/>
      <c r="AJ91" s="721">
        <f t="shared" si="19"/>
        <v>450</v>
      </c>
      <c r="AK91" s="722">
        <f t="shared" si="20"/>
        <v>0</v>
      </c>
    </row>
    <row r="92" spans="1:37" s="723" customFormat="1" ht="24.75" customHeight="1">
      <c r="A92" s="713" t="s">
        <v>70</v>
      </c>
      <c r="B92" s="712" t="s">
        <v>774</v>
      </c>
      <c r="C92" s="711" t="s">
        <v>71</v>
      </c>
      <c r="D92" s="711">
        <v>1</v>
      </c>
      <c r="E92" s="752">
        <f>+X92</f>
        <v>800</v>
      </c>
      <c r="F92" s="714">
        <f>+E92</f>
        <v>800</v>
      </c>
      <c r="G92" s="714"/>
      <c r="H92" s="753"/>
      <c r="I92" s="753"/>
      <c r="J92" s="753"/>
      <c r="K92" s="753"/>
      <c r="L92" s="753"/>
      <c r="M92" s="753"/>
      <c r="N92" s="753"/>
      <c r="O92" s="753"/>
      <c r="P92" s="714"/>
      <c r="Q92" s="753"/>
      <c r="R92" s="753"/>
      <c r="S92" s="714"/>
      <c r="T92" s="714"/>
      <c r="U92" s="714"/>
      <c r="V92" s="714"/>
      <c r="W92" s="714"/>
      <c r="X92" s="714">
        <v>800</v>
      </c>
      <c r="Y92" s="714"/>
      <c r="Z92" s="714"/>
      <c r="AA92" s="714"/>
      <c r="AB92" s="714"/>
      <c r="AC92" s="714"/>
      <c r="AD92" s="714"/>
      <c r="AE92" s="714"/>
      <c r="AF92" s="714"/>
      <c r="AG92" s="718"/>
      <c r="AH92" s="726"/>
      <c r="AI92" s="720"/>
      <c r="AJ92" s="721">
        <f t="shared" si="19"/>
        <v>800</v>
      </c>
      <c r="AK92" s="722">
        <f t="shared" si="20"/>
        <v>0</v>
      </c>
    </row>
  </sheetData>
  <mergeCells count="41">
    <mergeCell ref="A1:AF1"/>
    <mergeCell ref="A2:AF2"/>
    <mergeCell ref="Y3:AF3"/>
    <mergeCell ref="A4:A8"/>
    <mergeCell ref="B4:B8"/>
    <mergeCell ref="AF5:AF8"/>
    <mergeCell ref="AE5:AE8"/>
    <mergeCell ref="C4:C8"/>
    <mergeCell ref="D4:D8"/>
    <mergeCell ref="P7:P8"/>
    <mergeCell ref="X6:X8"/>
    <mergeCell ref="Y5:Y8"/>
    <mergeCell ref="F4:AF4"/>
    <mergeCell ref="AB6:AB8"/>
    <mergeCell ref="U6:W6"/>
    <mergeCell ref="F5:F8"/>
    <mergeCell ref="H6:S6"/>
    <mergeCell ref="M7:M8"/>
    <mergeCell ref="N7:O7"/>
    <mergeCell ref="AD6:AD8"/>
    <mergeCell ref="E4:E8"/>
    <mergeCell ref="Z5:Z8"/>
    <mergeCell ref="AA6:AA8"/>
    <mergeCell ref="AC6:AC8"/>
    <mergeCell ref="T6:T8"/>
    <mergeCell ref="V7:V8"/>
    <mergeCell ref="W7:W8"/>
    <mergeCell ref="G6:G8"/>
    <mergeCell ref="H7:H8"/>
    <mergeCell ref="I7:I8"/>
    <mergeCell ref="J7:J8"/>
    <mergeCell ref="C48:C52"/>
    <mergeCell ref="D48:D52"/>
    <mergeCell ref="E48:E52"/>
    <mergeCell ref="F48:F52"/>
    <mergeCell ref="J48:J52"/>
    <mergeCell ref="K48:K52"/>
    <mergeCell ref="Q7:R7"/>
    <mergeCell ref="S7:S8"/>
    <mergeCell ref="U7:U8"/>
    <mergeCell ref="K7:L7"/>
  </mergeCells>
  <pageMargins left="0.19685039370078741" right="0.19685039370078741" top="0.39370078740157483" bottom="0.39370078740157483" header="7.874015748031496E-2" footer="0"/>
  <pageSetup paperSize="9" scale="59" fitToHeight="0" orientation="landscape" r:id="rId1"/>
  <headerFooter scaleWithDoc="0" alignWithMargins="0">
    <oddHeader>Page &amp;P</oddHeader>
  </headerFooter>
  <legacyDrawing r:id="rId2"/>
</worksheet>
</file>

<file path=xl/worksheets/sheet16.xml><?xml version="1.0" encoding="utf-8"?>
<worksheet xmlns="http://schemas.openxmlformats.org/spreadsheetml/2006/main" xmlns:r="http://schemas.openxmlformats.org/officeDocument/2006/relationships">
  <sheetPr>
    <tabColor rgb="FFFFFF00"/>
  </sheetPr>
  <dimension ref="A1:AD109"/>
  <sheetViews>
    <sheetView workbookViewId="0">
      <pane xSplit="4" ySplit="9" topLeftCell="E58" activePane="bottomRight" state="frozen"/>
      <selection activeCell="E25" sqref="E25"/>
      <selection pane="topRight" activeCell="E25" sqref="E25"/>
      <selection pane="bottomLeft" activeCell="E25" sqref="E25"/>
      <selection pane="bottomRight" activeCell="E25" sqref="E25"/>
    </sheetView>
  </sheetViews>
  <sheetFormatPr defaultRowHeight="15"/>
  <cols>
    <col min="1" max="1" width="3.375" style="240" customWidth="1"/>
    <col min="2" max="2" width="35.5" style="97" customWidth="1"/>
    <col min="3" max="3" width="4.5" style="95" customWidth="1"/>
    <col min="4" max="4" width="5.625" style="99" customWidth="1"/>
    <col min="5" max="5" width="8" style="95" customWidth="1"/>
    <col min="6" max="6" width="8.625" style="100" customWidth="1"/>
    <col min="7" max="7" width="9.125" style="97" customWidth="1"/>
    <col min="8" max="8" width="12.25" style="97" customWidth="1"/>
    <col min="9" max="9" width="9.125" style="97" customWidth="1"/>
    <col min="10" max="10" width="8.875" style="97" customWidth="1"/>
    <col min="11" max="11" width="8.25" style="97" customWidth="1"/>
    <col min="12" max="12" width="10.5" style="97" customWidth="1"/>
    <col min="13" max="13" width="8.125" style="97" customWidth="1"/>
    <col min="14" max="14" width="7.75" style="96" customWidth="1"/>
    <col min="15" max="15" width="8.375" style="96" customWidth="1"/>
    <col min="16" max="16" width="12.125" style="96" customWidth="1"/>
    <col min="17" max="17" width="7.875" style="97" customWidth="1"/>
    <col min="18" max="18" width="10.125" style="96" customWidth="1"/>
    <col min="19" max="19" width="7.375" style="96" customWidth="1"/>
    <col min="20" max="20" width="7.5" style="97" customWidth="1"/>
    <col min="21" max="21" width="8.375" style="97" customWidth="1"/>
    <col min="22" max="22" width="3.625" style="97" customWidth="1"/>
    <col min="23" max="23" width="8.625" style="97" customWidth="1"/>
    <col min="24" max="24" width="7.375" style="96" customWidth="1"/>
    <col min="25" max="25" width="7.625" style="96" customWidth="1"/>
    <col min="26" max="26" width="13.125" style="98" hidden="1" customWidth="1"/>
    <col min="27" max="27" width="5" style="98" hidden="1" customWidth="1"/>
    <col min="28" max="28" width="8" style="97" hidden="1" customWidth="1"/>
    <col min="29" max="30" width="9" style="97" customWidth="1"/>
  </cols>
  <sheetData>
    <row r="1" spans="1:30">
      <c r="A1" s="1508" t="s">
        <v>353</v>
      </c>
      <c r="B1" s="1508"/>
      <c r="C1" s="1508"/>
      <c r="D1" s="1508"/>
      <c r="E1" s="1508"/>
      <c r="F1" s="1508"/>
      <c r="G1" s="1508"/>
      <c r="H1" s="1508"/>
      <c r="I1" s="1508"/>
      <c r="J1" s="1508"/>
      <c r="K1" s="1508"/>
      <c r="L1" s="1508"/>
      <c r="M1" s="1508"/>
      <c r="N1" s="1508"/>
      <c r="O1" s="1508"/>
      <c r="P1" s="1508"/>
      <c r="Q1" s="1508"/>
      <c r="R1" s="1508"/>
      <c r="S1" s="1508"/>
      <c r="T1" s="1508"/>
      <c r="U1" s="1508"/>
      <c r="V1" s="1508"/>
      <c r="W1" s="1508"/>
      <c r="X1" s="1508"/>
      <c r="Y1" s="1508"/>
      <c r="Z1" s="238"/>
      <c r="AA1" s="238"/>
      <c r="AB1" s="239"/>
      <c r="AC1" s="239"/>
      <c r="AD1" s="239"/>
    </row>
    <row r="2" spans="1:30">
      <c r="A2" s="1509" t="s">
        <v>354</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238"/>
      <c r="AA2" s="238"/>
      <c r="AB2" s="239"/>
      <c r="AC2" s="239"/>
      <c r="AD2" s="239"/>
    </row>
    <row r="3" spans="1:30">
      <c r="B3" s="239"/>
      <c r="C3" s="241"/>
      <c r="D3" s="242"/>
      <c r="E3" s="243"/>
      <c r="F3" s="244"/>
      <c r="G3" s="239"/>
      <c r="H3" s="239"/>
      <c r="I3" s="239"/>
      <c r="J3" s="239"/>
      <c r="K3" s="239"/>
      <c r="L3" s="239"/>
      <c r="M3" s="245"/>
      <c r="N3" s="245"/>
      <c r="O3" s="245"/>
      <c r="P3" s="245"/>
      <c r="Q3" s="239"/>
      <c r="R3" s="1511"/>
      <c r="S3" s="1511"/>
      <c r="T3" s="1511"/>
      <c r="U3" s="1511"/>
      <c r="V3" s="1511"/>
      <c r="W3" s="1511"/>
      <c r="X3" s="1511"/>
      <c r="Y3" s="1511"/>
      <c r="Z3" s="238"/>
      <c r="AA3" s="238"/>
      <c r="AB3" s="239"/>
      <c r="AC3" s="239"/>
      <c r="AD3" s="239"/>
    </row>
    <row r="4" spans="1:30">
      <c r="A4" s="1410" t="s">
        <v>130</v>
      </c>
      <c r="B4" s="1567" t="s">
        <v>62</v>
      </c>
      <c r="C4" s="1567" t="s">
        <v>1</v>
      </c>
      <c r="D4" s="1571" t="s">
        <v>147</v>
      </c>
      <c r="E4" s="1567" t="s">
        <v>355</v>
      </c>
      <c r="F4" s="1574" t="s">
        <v>356</v>
      </c>
      <c r="G4" s="1574"/>
      <c r="H4" s="1574"/>
      <c r="I4" s="1574"/>
      <c r="J4" s="1574"/>
      <c r="K4" s="1574"/>
      <c r="L4" s="1574"/>
      <c r="M4" s="1574"/>
      <c r="N4" s="1574"/>
      <c r="O4" s="1574"/>
      <c r="P4" s="1574"/>
      <c r="Q4" s="1574"/>
      <c r="R4" s="1574"/>
      <c r="S4" s="1574"/>
      <c r="T4" s="1574"/>
      <c r="U4" s="1574"/>
      <c r="V4" s="1574"/>
      <c r="W4" s="1574"/>
      <c r="X4" s="1574"/>
      <c r="Y4" s="1574"/>
      <c r="Z4" s="238"/>
      <c r="AA4" s="238"/>
      <c r="AB4" s="239"/>
      <c r="AC4" s="239"/>
      <c r="AD4" s="239"/>
    </row>
    <row r="5" spans="1:30">
      <c r="A5" s="1410"/>
      <c r="B5" s="1567"/>
      <c r="C5" s="1567"/>
      <c r="D5" s="1572"/>
      <c r="E5" s="1567"/>
      <c r="F5" s="1568" t="s">
        <v>158</v>
      </c>
      <c r="G5" s="246" t="s">
        <v>357</v>
      </c>
      <c r="H5" s="246"/>
      <c r="I5" s="246"/>
      <c r="J5" s="246"/>
      <c r="K5" s="246"/>
      <c r="L5" s="246"/>
      <c r="M5" s="246"/>
      <c r="N5" s="246"/>
      <c r="O5" s="246"/>
      <c r="P5" s="246"/>
      <c r="Q5" s="246"/>
      <c r="R5" s="1567" t="s">
        <v>358</v>
      </c>
      <c r="S5" s="1568" t="s">
        <v>163</v>
      </c>
      <c r="T5" s="246" t="s">
        <v>2</v>
      </c>
      <c r="U5" s="246"/>
      <c r="V5" s="246"/>
      <c r="W5" s="246"/>
      <c r="X5" s="1575" t="s">
        <v>148</v>
      </c>
      <c r="Y5" s="1567" t="s">
        <v>127</v>
      </c>
      <c r="Z5" s="238"/>
      <c r="AA5" s="238"/>
      <c r="AB5" s="239"/>
      <c r="AC5" s="239"/>
      <c r="AD5" s="239"/>
    </row>
    <row r="6" spans="1:30" s="104" customFormat="1">
      <c r="A6" s="1410"/>
      <c r="B6" s="1567"/>
      <c r="C6" s="1567"/>
      <c r="D6" s="1572"/>
      <c r="E6" s="1567"/>
      <c r="F6" s="1569"/>
      <c r="G6" s="1578" t="s">
        <v>359</v>
      </c>
      <c r="H6" s="1581" t="s">
        <v>2</v>
      </c>
      <c r="I6" s="1582"/>
      <c r="J6" s="1582"/>
      <c r="K6" s="1582"/>
      <c r="L6" s="1582"/>
      <c r="M6" s="1583"/>
      <c r="N6" s="1578" t="s">
        <v>164</v>
      </c>
      <c r="O6" s="1581" t="s">
        <v>2</v>
      </c>
      <c r="P6" s="1582"/>
      <c r="Q6" s="1583"/>
      <c r="R6" s="1567"/>
      <c r="S6" s="1569"/>
      <c r="T6" s="1560" t="s">
        <v>360</v>
      </c>
      <c r="U6" s="1560" t="s">
        <v>361</v>
      </c>
      <c r="V6" s="1560" t="s">
        <v>362</v>
      </c>
      <c r="W6" s="1560" t="s">
        <v>363</v>
      </c>
      <c r="X6" s="1576"/>
      <c r="Y6" s="1567"/>
      <c r="Z6" s="368"/>
      <c r="AA6" s="368"/>
      <c r="AB6" s="369"/>
      <c r="AC6" s="369"/>
      <c r="AD6" s="369"/>
    </row>
    <row r="7" spans="1:30" s="104" customFormat="1">
      <c r="A7" s="1410"/>
      <c r="B7" s="1567"/>
      <c r="C7" s="1567"/>
      <c r="D7" s="1572"/>
      <c r="E7" s="1567"/>
      <c r="F7" s="1569"/>
      <c r="G7" s="1579"/>
      <c r="H7" s="1563" t="s">
        <v>470</v>
      </c>
      <c r="I7" s="1563" t="s">
        <v>364</v>
      </c>
      <c r="J7" s="1564" t="s">
        <v>365</v>
      </c>
      <c r="K7" s="1566" t="s">
        <v>2</v>
      </c>
      <c r="L7" s="1566"/>
      <c r="M7" s="1564" t="s">
        <v>187</v>
      </c>
      <c r="N7" s="1579"/>
      <c r="O7" s="1563" t="s">
        <v>165</v>
      </c>
      <c r="P7" s="1563" t="s">
        <v>366</v>
      </c>
      <c r="Q7" s="1563" t="s">
        <v>166</v>
      </c>
      <c r="R7" s="1567"/>
      <c r="S7" s="1569"/>
      <c r="T7" s="1561"/>
      <c r="U7" s="1561"/>
      <c r="V7" s="1561"/>
      <c r="W7" s="1561"/>
      <c r="X7" s="1576"/>
      <c r="Y7" s="1567"/>
      <c r="Z7" s="368"/>
      <c r="AA7" s="368"/>
      <c r="AB7" s="369"/>
      <c r="AC7" s="369"/>
      <c r="AD7" s="369"/>
    </row>
    <row r="8" spans="1:30" s="104" customFormat="1" ht="54">
      <c r="A8" s="1410"/>
      <c r="B8" s="1567"/>
      <c r="C8" s="1567"/>
      <c r="D8" s="1573"/>
      <c r="E8" s="1567"/>
      <c r="F8" s="1570"/>
      <c r="G8" s="1580"/>
      <c r="H8" s="1563"/>
      <c r="I8" s="1563"/>
      <c r="J8" s="1565"/>
      <c r="K8" s="367" t="s">
        <v>367</v>
      </c>
      <c r="L8" s="367" t="s">
        <v>368</v>
      </c>
      <c r="M8" s="1565"/>
      <c r="N8" s="1580"/>
      <c r="O8" s="1563"/>
      <c r="P8" s="1563"/>
      <c r="Q8" s="1563"/>
      <c r="R8" s="1567"/>
      <c r="S8" s="1570"/>
      <c r="T8" s="1562"/>
      <c r="U8" s="1562"/>
      <c r="V8" s="1562"/>
      <c r="W8" s="1562"/>
      <c r="X8" s="1577"/>
      <c r="Y8" s="1567"/>
      <c r="Z8" s="368"/>
      <c r="AA8" s="368"/>
      <c r="AB8" s="369"/>
      <c r="AC8" s="369"/>
      <c r="AD8" s="369" t="s">
        <v>128</v>
      </c>
    </row>
    <row r="9" spans="1:30">
      <c r="A9" s="247" t="s">
        <v>167</v>
      </c>
      <c r="B9" s="248" t="s">
        <v>168</v>
      </c>
      <c r="C9" s="248" t="s">
        <v>169</v>
      </c>
      <c r="D9" s="248" t="s">
        <v>170</v>
      </c>
      <c r="E9" s="248" t="s">
        <v>171</v>
      </c>
      <c r="F9" s="248" t="s">
        <v>172</v>
      </c>
      <c r="G9" s="248" t="s">
        <v>173</v>
      </c>
      <c r="H9" s="248" t="s">
        <v>174</v>
      </c>
      <c r="I9" s="248">
        <v>9</v>
      </c>
      <c r="J9" s="248">
        <v>10</v>
      </c>
      <c r="K9" s="248">
        <v>11</v>
      </c>
      <c r="L9" s="248">
        <v>12</v>
      </c>
      <c r="M9" s="248">
        <v>13</v>
      </c>
      <c r="N9" s="248">
        <v>14</v>
      </c>
      <c r="O9" s="248">
        <v>15</v>
      </c>
      <c r="P9" s="248">
        <v>16</v>
      </c>
      <c r="Q9" s="248">
        <v>17</v>
      </c>
      <c r="R9" s="248">
        <v>18</v>
      </c>
      <c r="S9" s="248">
        <v>19</v>
      </c>
      <c r="T9" s="248">
        <v>20</v>
      </c>
      <c r="U9" s="248">
        <v>18</v>
      </c>
      <c r="V9" s="248">
        <v>19</v>
      </c>
      <c r="W9" s="248">
        <v>21</v>
      </c>
      <c r="X9" s="248">
        <v>22</v>
      </c>
      <c r="Y9" s="248">
        <v>23</v>
      </c>
      <c r="Z9" s="248"/>
      <c r="AA9" s="248"/>
      <c r="AB9" s="248" t="s">
        <v>168</v>
      </c>
    </row>
    <row r="10" spans="1:30" ht="33.75" customHeight="1">
      <c r="A10" s="1" t="s">
        <v>140</v>
      </c>
      <c r="B10" s="256" t="s">
        <v>370</v>
      </c>
      <c r="C10" s="1" t="s">
        <v>103</v>
      </c>
      <c r="D10" s="249"/>
      <c r="E10" s="250" t="e">
        <f>+E11+#REF!+#REF!+#REF!+#REF!</f>
        <v>#REF!</v>
      </c>
      <c r="F10" s="250" t="e">
        <f>+F11+#REF!+#REF!+#REF!+#REF!</f>
        <v>#REF!</v>
      </c>
      <c r="G10" s="250" t="e">
        <f>+G11+#REF!+#REF!+#REF!+#REF!</f>
        <v>#REF!</v>
      </c>
      <c r="H10" s="250" t="e">
        <f>+H11+#REF!+#REF!+#REF!+#REF!</f>
        <v>#REF!</v>
      </c>
      <c r="I10" s="250" t="e">
        <f>+I11+#REF!+#REF!+#REF!+#REF!</f>
        <v>#REF!</v>
      </c>
      <c r="J10" s="250" t="e">
        <f>+J11+#REF!+#REF!+#REF!+#REF!</f>
        <v>#REF!</v>
      </c>
      <c r="K10" s="250" t="e">
        <f>+K11+#REF!+#REF!+#REF!+#REF!</f>
        <v>#REF!</v>
      </c>
      <c r="L10" s="250" t="e">
        <f>+L11+#REF!+#REF!+#REF!+#REF!</f>
        <v>#REF!</v>
      </c>
      <c r="M10" s="250" t="e">
        <f>+M11+#REF!+#REF!+#REF!+#REF!</f>
        <v>#REF!</v>
      </c>
      <c r="N10" s="250" t="e">
        <f>+N11+#REF!+#REF!+#REF!+#REF!</f>
        <v>#REF!</v>
      </c>
      <c r="O10" s="250" t="e">
        <f>+O11+#REF!+#REF!+#REF!+#REF!</f>
        <v>#REF!</v>
      </c>
      <c r="P10" s="250" t="e">
        <f>+P11+#REF!+#REF!+#REF!+#REF!</f>
        <v>#REF!</v>
      </c>
      <c r="Q10" s="250" t="e">
        <f>+Q11+#REF!+#REF!+#REF!+#REF!</f>
        <v>#REF!</v>
      </c>
      <c r="R10" s="250" t="e">
        <f>+R11+#REF!+#REF!+#REF!+#REF!</f>
        <v>#REF!</v>
      </c>
      <c r="S10" s="250" t="e">
        <f>+S11+#REF!+#REF!+#REF!+#REF!</f>
        <v>#REF!</v>
      </c>
      <c r="T10" s="250" t="e">
        <f>+T11+#REF!+#REF!+#REF!+#REF!</f>
        <v>#REF!</v>
      </c>
      <c r="U10" s="250" t="e">
        <f>+U11+#REF!+#REF!+#REF!+#REF!</f>
        <v>#REF!</v>
      </c>
      <c r="V10" s="250" t="e">
        <f>+V11+#REF!+#REF!+#REF!+#REF!</f>
        <v>#REF!</v>
      </c>
      <c r="W10" s="250" t="e">
        <f>+W11+#REF!+#REF!+#REF!+#REF!</f>
        <v>#REF!</v>
      </c>
      <c r="X10" s="250" t="e">
        <f>+X11+#REF!+#REF!+#REF!+#REF!</f>
        <v>#REF!</v>
      </c>
      <c r="Y10" s="250" t="e">
        <f>+Y11+#REF!+#REF!+#REF!+#REF!</f>
        <v>#REF!</v>
      </c>
      <c r="Z10" s="257" t="e">
        <f>+Z11+#REF!+#REF!+#REF!+#REF!</f>
        <v>#REF!</v>
      </c>
      <c r="AA10" s="257" t="e">
        <f>+AA11+#REF!+#REF!+#REF!+#REF!</f>
        <v>#REF!</v>
      </c>
      <c r="AB10" s="257" t="e">
        <f>+AB11+#REF!+#REF!+#REF!+#REF!</f>
        <v>#REF!</v>
      </c>
      <c r="AC10" s="252" t="e">
        <f t="shared" ref="AC10:AC28" si="0">+E10-G10-N10-R10-S10-X10-Y10</f>
        <v>#REF!</v>
      </c>
      <c r="AD10" s="253" t="e">
        <f t="shared" ref="AD10:AD28" si="1">+E10-F10-R10-S10-X10-Y10</f>
        <v>#REF!</v>
      </c>
    </row>
    <row r="11" spans="1:30" ht="15.75">
      <c r="A11" s="1" t="s">
        <v>66</v>
      </c>
      <c r="B11" s="258" t="s">
        <v>371</v>
      </c>
      <c r="C11" s="1" t="s">
        <v>103</v>
      </c>
      <c r="D11" s="2"/>
      <c r="E11" s="259">
        <f>+E12+E13+E17+E21+E27</f>
        <v>23408.7</v>
      </c>
      <c r="F11" s="259">
        <f t="shared" ref="F11:AB11" si="2">+F12+F13+F17+F21+F27</f>
        <v>22888.883000000002</v>
      </c>
      <c r="G11" s="259">
        <f t="shared" si="2"/>
        <v>13529.403</v>
      </c>
      <c r="H11" s="259">
        <f t="shared" si="2"/>
        <v>0</v>
      </c>
      <c r="I11" s="259">
        <f t="shared" si="2"/>
        <v>600</v>
      </c>
      <c r="J11" s="259">
        <f t="shared" si="2"/>
        <v>3102</v>
      </c>
      <c r="K11" s="259">
        <f t="shared" si="2"/>
        <v>0</v>
      </c>
      <c r="L11" s="259">
        <f t="shared" si="2"/>
        <v>3102</v>
      </c>
      <c r="M11" s="259">
        <f t="shared" si="2"/>
        <v>9827.4030000000002</v>
      </c>
      <c r="N11" s="259">
        <f t="shared" si="2"/>
        <v>9359.48</v>
      </c>
      <c r="O11" s="259">
        <f t="shared" si="2"/>
        <v>0</v>
      </c>
      <c r="P11" s="259">
        <f t="shared" si="2"/>
        <v>39.878000000000007</v>
      </c>
      <c r="Q11" s="259">
        <f t="shared" si="2"/>
        <v>9319.6020000000008</v>
      </c>
      <c r="R11" s="259">
        <f t="shared" si="2"/>
        <v>0</v>
      </c>
      <c r="S11" s="259">
        <f t="shared" si="2"/>
        <v>0</v>
      </c>
      <c r="T11" s="259">
        <f t="shared" si="2"/>
        <v>0</v>
      </c>
      <c r="U11" s="259">
        <f t="shared" si="2"/>
        <v>0</v>
      </c>
      <c r="V11" s="259">
        <f t="shared" si="2"/>
        <v>0</v>
      </c>
      <c r="W11" s="259">
        <f t="shared" si="2"/>
        <v>0</v>
      </c>
      <c r="X11" s="259">
        <f t="shared" si="2"/>
        <v>0</v>
      </c>
      <c r="Y11" s="259">
        <f t="shared" si="2"/>
        <v>519.81700000000001</v>
      </c>
      <c r="Z11" s="260">
        <f t="shared" si="2"/>
        <v>0</v>
      </c>
      <c r="AA11" s="260">
        <f t="shared" si="2"/>
        <v>0</v>
      </c>
      <c r="AB11" s="260">
        <f t="shared" si="2"/>
        <v>0</v>
      </c>
      <c r="AC11" s="252">
        <f t="shared" si="0"/>
        <v>9.0949470177292824E-13</v>
      </c>
      <c r="AD11" s="253">
        <f t="shared" si="1"/>
        <v>-9.0949470177292824E-13</v>
      </c>
    </row>
    <row r="12" spans="1:30" ht="15.75">
      <c r="A12" s="261">
        <v>1</v>
      </c>
      <c r="B12" s="255" t="s">
        <v>369</v>
      </c>
      <c r="C12" s="254" t="s">
        <v>71</v>
      </c>
      <c r="D12" s="254"/>
      <c r="E12" s="262"/>
      <c r="F12" s="262">
        <f>+G12+N12</f>
        <v>0</v>
      </c>
      <c r="G12" s="263">
        <f t="shared" ref="G12:G27" si="3">+H12+I12+J12+M12</f>
        <v>0</v>
      </c>
      <c r="H12" s="262"/>
      <c r="I12" s="262"/>
      <c r="J12" s="263">
        <f t="shared" ref="J12:J27" si="4">+K12+L12</f>
        <v>0</v>
      </c>
      <c r="K12" s="262"/>
      <c r="L12" s="262"/>
      <c r="M12" s="262"/>
      <c r="N12" s="262">
        <f>+O12+P12+Q12</f>
        <v>0</v>
      </c>
      <c r="O12" s="262"/>
      <c r="P12" s="262"/>
      <c r="Q12" s="262"/>
      <c r="R12" s="264"/>
      <c r="S12" s="265"/>
      <c r="T12" s="266"/>
      <c r="U12" s="266"/>
      <c r="V12" s="266"/>
      <c r="W12" s="266"/>
      <c r="X12" s="266"/>
      <c r="Y12" s="266"/>
      <c r="Z12" s="267"/>
      <c r="AA12" s="268"/>
      <c r="AB12" s="269"/>
      <c r="AC12" s="252">
        <f t="shared" si="0"/>
        <v>0</v>
      </c>
      <c r="AD12" s="253">
        <f t="shared" si="1"/>
        <v>0</v>
      </c>
    </row>
    <row r="13" spans="1:30" ht="15.75">
      <c r="A13" s="261">
        <v>1</v>
      </c>
      <c r="B13" s="255" t="s">
        <v>29</v>
      </c>
      <c r="C13" s="254"/>
      <c r="D13" s="254">
        <f>+D14+D15+D16</f>
        <v>0.157</v>
      </c>
      <c r="E13" s="254">
        <f t="shared" ref="E13:Y13" si="5">+E14+E15+E16</f>
        <v>99.695000000000007</v>
      </c>
      <c r="F13" s="254">
        <f t="shared" si="5"/>
        <v>39.878000000000007</v>
      </c>
      <c r="G13" s="263">
        <f t="shared" si="3"/>
        <v>0</v>
      </c>
      <c r="H13" s="262">
        <f t="shared" si="5"/>
        <v>0</v>
      </c>
      <c r="I13" s="262">
        <f t="shared" si="5"/>
        <v>0</v>
      </c>
      <c r="J13" s="263">
        <f t="shared" si="4"/>
        <v>0</v>
      </c>
      <c r="K13" s="262">
        <f t="shared" si="5"/>
        <v>0</v>
      </c>
      <c r="L13" s="262">
        <f t="shared" si="5"/>
        <v>0</v>
      </c>
      <c r="M13" s="262">
        <f t="shared" si="5"/>
        <v>0</v>
      </c>
      <c r="N13" s="262">
        <f t="shared" si="5"/>
        <v>39.878000000000007</v>
      </c>
      <c r="O13" s="262">
        <f t="shared" si="5"/>
        <v>0</v>
      </c>
      <c r="P13" s="262">
        <f t="shared" si="5"/>
        <v>39.878000000000007</v>
      </c>
      <c r="Q13" s="254">
        <f t="shared" si="5"/>
        <v>0</v>
      </c>
      <c r="R13" s="254">
        <f t="shared" si="5"/>
        <v>0</v>
      </c>
      <c r="S13" s="254">
        <f t="shared" si="5"/>
        <v>0</v>
      </c>
      <c r="T13" s="254">
        <f t="shared" si="5"/>
        <v>0</v>
      </c>
      <c r="U13" s="254">
        <f t="shared" si="5"/>
        <v>0</v>
      </c>
      <c r="V13" s="254">
        <f t="shared" si="5"/>
        <v>0</v>
      </c>
      <c r="W13" s="254">
        <f t="shared" si="5"/>
        <v>0</v>
      </c>
      <c r="X13" s="254">
        <f t="shared" si="5"/>
        <v>0</v>
      </c>
      <c r="Y13" s="254">
        <f t="shared" si="5"/>
        <v>59.817</v>
      </c>
      <c r="Z13" s="267"/>
      <c r="AA13" s="268"/>
      <c r="AB13" s="269"/>
      <c r="AC13" s="252">
        <f t="shared" si="0"/>
        <v>0</v>
      </c>
      <c r="AD13" s="253">
        <f t="shared" si="1"/>
        <v>0</v>
      </c>
    </row>
    <row r="14" spans="1:30" ht="15.75">
      <c r="A14" s="270" t="s">
        <v>81</v>
      </c>
      <c r="B14" s="271" t="s">
        <v>372</v>
      </c>
      <c r="C14" s="2" t="s">
        <v>69</v>
      </c>
      <c r="D14" s="2"/>
      <c r="E14" s="263"/>
      <c r="F14" s="263"/>
      <c r="G14" s="263"/>
      <c r="H14" s="262"/>
      <c r="I14" s="262"/>
      <c r="J14" s="263"/>
      <c r="K14" s="262"/>
      <c r="L14" s="262"/>
      <c r="M14" s="263"/>
      <c r="N14" s="263"/>
      <c r="O14" s="263"/>
      <c r="P14" s="263"/>
      <c r="Q14" s="263"/>
      <c r="R14" s="272"/>
      <c r="S14" s="273"/>
      <c r="T14" s="274"/>
      <c r="U14" s="274"/>
      <c r="V14" s="274"/>
      <c r="W14" s="274"/>
      <c r="X14" s="274"/>
      <c r="Y14" s="275"/>
      <c r="Z14" s="276"/>
      <c r="AA14" s="277"/>
      <c r="AB14" s="278"/>
      <c r="AC14" s="252"/>
      <c r="AD14" s="253">
        <f t="shared" si="1"/>
        <v>0</v>
      </c>
    </row>
    <row r="15" spans="1:30" s="388" customFormat="1" ht="15.75">
      <c r="A15" s="375" t="s">
        <v>81</v>
      </c>
      <c r="B15" s="376" t="s">
        <v>181</v>
      </c>
      <c r="C15" s="355" t="s">
        <v>69</v>
      </c>
      <c r="D15" s="355">
        <v>0.157</v>
      </c>
      <c r="E15" s="377">
        <f>+D15*635</f>
        <v>99.695000000000007</v>
      </c>
      <c r="F15" s="377">
        <f>+G15+N15</f>
        <v>39.878000000000007</v>
      </c>
      <c r="G15" s="377">
        <f t="shared" si="3"/>
        <v>0</v>
      </c>
      <c r="H15" s="378"/>
      <c r="I15" s="378"/>
      <c r="J15" s="377">
        <f t="shared" si="4"/>
        <v>0</v>
      </c>
      <c r="K15" s="378"/>
      <c r="L15" s="378"/>
      <c r="M15" s="377"/>
      <c r="N15" s="377">
        <f>+O15+P15+Q15</f>
        <v>39.878000000000007</v>
      </c>
      <c r="O15" s="377"/>
      <c r="P15" s="377">
        <f>+E15*0.4</f>
        <v>39.878000000000007</v>
      </c>
      <c r="Q15" s="377"/>
      <c r="R15" s="379"/>
      <c r="S15" s="380">
        <f>+T15+U15+W15</f>
        <v>0</v>
      </c>
      <c r="T15" s="381"/>
      <c r="U15" s="381"/>
      <c r="V15" s="381"/>
      <c r="W15" s="381"/>
      <c r="X15" s="381"/>
      <c r="Y15" s="382">
        <f>+E15-P15</f>
        <v>59.817</v>
      </c>
      <c r="Z15" s="383"/>
      <c r="AA15" s="384"/>
      <c r="AB15" s="385"/>
      <c r="AC15" s="386">
        <f t="shared" si="0"/>
        <v>0</v>
      </c>
      <c r="AD15" s="387">
        <f t="shared" si="1"/>
        <v>0</v>
      </c>
    </row>
    <row r="16" spans="1:30" ht="15.75">
      <c r="A16" s="270" t="s">
        <v>81</v>
      </c>
      <c r="B16" s="271" t="s">
        <v>182</v>
      </c>
      <c r="C16" s="2" t="s">
        <v>69</v>
      </c>
      <c r="D16" s="2"/>
      <c r="E16" s="263"/>
      <c r="F16" s="263"/>
      <c r="G16" s="263"/>
      <c r="H16" s="262"/>
      <c r="I16" s="262"/>
      <c r="J16" s="263"/>
      <c r="K16" s="262"/>
      <c r="L16" s="262"/>
      <c r="M16" s="263"/>
      <c r="N16" s="263"/>
      <c r="O16" s="263"/>
      <c r="P16" s="263"/>
      <c r="Q16" s="263"/>
      <c r="R16" s="272"/>
      <c r="S16" s="273"/>
      <c r="T16" s="274"/>
      <c r="U16" s="274"/>
      <c r="V16" s="274"/>
      <c r="W16" s="274"/>
      <c r="X16" s="274"/>
      <c r="Y16" s="275"/>
      <c r="Z16" s="280"/>
      <c r="AA16" s="251"/>
      <c r="AB16" s="281"/>
      <c r="AC16" s="252">
        <f t="shared" si="0"/>
        <v>0</v>
      </c>
      <c r="AD16" s="253">
        <f t="shared" si="1"/>
        <v>0</v>
      </c>
    </row>
    <row r="17" spans="1:30" ht="15.75">
      <c r="A17" s="282">
        <v>2</v>
      </c>
      <c r="B17" s="283" t="s">
        <v>75</v>
      </c>
      <c r="C17" s="282"/>
      <c r="D17" s="282"/>
      <c r="E17" s="284">
        <f>+E19+E20+E18</f>
        <v>19549.005000000001</v>
      </c>
      <c r="F17" s="284">
        <f t="shared" ref="F17:Y17" si="6">+F19+F20+F18</f>
        <v>19549.005000000001</v>
      </c>
      <c r="G17" s="263">
        <f t="shared" si="3"/>
        <v>11729.403</v>
      </c>
      <c r="H17" s="262">
        <f t="shared" si="6"/>
        <v>0</v>
      </c>
      <c r="I17" s="262">
        <f t="shared" si="6"/>
        <v>0</v>
      </c>
      <c r="J17" s="263">
        <f t="shared" si="4"/>
        <v>3102</v>
      </c>
      <c r="K17" s="262">
        <f t="shared" si="6"/>
        <v>0</v>
      </c>
      <c r="L17" s="262">
        <f t="shared" si="6"/>
        <v>3102</v>
      </c>
      <c r="M17" s="284">
        <f t="shared" si="6"/>
        <v>8627.4030000000002</v>
      </c>
      <c r="N17" s="284">
        <f t="shared" si="6"/>
        <v>7819.6020000000008</v>
      </c>
      <c r="O17" s="284">
        <f t="shared" si="6"/>
        <v>0</v>
      </c>
      <c r="P17" s="284">
        <f t="shared" si="6"/>
        <v>0</v>
      </c>
      <c r="Q17" s="284">
        <f t="shared" si="6"/>
        <v>7819.6020000000008</v>
      </c>
      <c r="R17" s="284">
        <f t="shared" si="6"/>
        <v>0</v>
      </c>
      <c r="S17" s="284">
        <f t="shared" si="6"/>
        <v>0</v>
      </c>
      <c r="T17" s="284">
        <f t="shared" si="6"/>
        <v>0</v>
      </c>
      <c r="U17" s="284">
        <f t="shared" si="6"/>
        <v>0</v>
      </c>
      <c r="V17" s="284">
        <f t="shared" si="6"/>
        <v>0</v>
      </c>
      <c r="W17" s="284">
        <f t="shared" si="6"/>
        <v>0</v>
      </c>
      <c r="X17" s="284">
        <f t="shared" si="6"/>
        <v>0</v>
      </c>
      <c r="Y17" s="284">
        <f t="shared" si="6"/>
        <v>0</v>
      </c>
      <c r="Z17" s="285"/>
      <c r="AA17" s="285"/>
      <c r="AB17" s="286"/>
      <c r="AC17" s="252">
        <f t="shared" si="0"/>
        <v>0</v>
      </c>
      <c r="AD17" s="253">
        <f t="shared" si="1"/>
        <v>0</v>
      </c>
    </row>
    <row r="18" spans="1:30" s="388" customFormat="1" ht="63.75">
      <c r="A18" s="389" t="s">
        <v>81</v>
      </c>
      <c r="B18" s="376" t="s">
        <v>373</v>
      </c>
      <c r="C18" s="355" t="s">
        <v>71</v>
      </c>
      <c r="D18" s="355">
        <v>1</v>
      </c>
      <c r="E18" s="377">
        <f>(96*6+30*2+110*2)*6.5+900+1500+800</f>
        <v>8764</v>
      </c>
      <c r="F18" s="377">
        <f>+G18+N18</f>
        <v>8764</v>
      </c>
      <c r="G18" s="377">
        <f t="shared" si="3"/>
        <v>5258.4</v>
      </c>
      <c r="H18" s="378"/>
      <c r="I18" s="378"/>
      <c r="J18" s="377">
        <f t="shared" si="4"/>
        <v>3102</v>
      </c>
      <c r="K18" s="378"/>
      <c r="L18" s="378">
        <f>3102-L28</f>
        <v>3102</v>
      </c>
      <c r="M18" s="390">
        <f>+E18*0.6-J18</f>
        <v>2156.3999999999996</v>
      </c>
      <c r="N18" s="377">
        <f>+O18+P18+Q18</f>
        <v>3505.6000000000004</v>
      </c>
      <c r="O18" s="390"/>
      <c r="P18" s="390"/>
      <c r="Q18" s="390">
        <f>+E18-G18</f>
        <v>3505.6000000000004</v>
      </c>
      <c r="R18" s="391"/>
      <c r="S18" s="377"/>
      <c r="T18" s="377"/>
      <c r="U18" s="377"/>
      <c r="V18" s="377"/>
      <c r="W18" s="377"/>
      <c r="X18" s="377"/>
      <c r="Y18" s="377"/>
      <c r="Z18" s="392"/>
      <c r="AA18" s="392"/>
      <c r="AB18" s="393"/>
      <c r="AC18" s="386">
        <f t="shared" si="0"/>
        <v>0</v>
      </c>
      <c r="AD18" s="387">
        <f t="shared" si="1"/>
        <v>0</v>
      </c>
    </row>
    <row r="19" spans="1:30" s="388" customFormat="1" ht="51">
      <c r="A19" s="389" t="s">
        <v>81</v>
      </c>
      <c r="B19" s="376" t="s">
        <v>374</v>
      </c>
      <c r="C19" s="355" t="s">
        <v>71</v>
      </c>
      <c r="D19" s="355"/>
      <c r="E19" s="377"/>
      <c r="F19" s="377">
        <f>+G19+N19</f>
        <v>0</v>
      </c>
      <c r="G19" s="377">
        <f t="shared" si="3"/>
        <v>0</v>
      </c>
      <c r="H19" s="378"/>
      <c r="I19" s="378"/>
      <c r="J19" s="377">
        <f t="shared" si="4"/>
        <v>0</v>
      </c>
      <c r="K19" s="378"/>
      <c r="L19" s="378"/>
      <c r="M19" s="390"/>
      <c r="N19" s="377">
        <f>+O19+P19+Q19</f>
        <v>0</v>
      </c>
      <c r="O19" s="390"/>
      <c r="P19" s="390"/>
      <c r="Q19" s="390">
        <f>+E19-G19</f>
        <v>0</v>
      </c>
      <c r="R19" s="391"/>
      <c r="S19" s="377"/>
      <c r="T19" s="377"/>
      <c r="U19" s="377"/>
      <c r="V19" s="377"/>
      <c r="W19" s="377"/>
      <c r="X19" s="377"/>
      <c r="Y19" s="377"/>
      <c r="Z19" s="392"/>
      <c r="AA19" s="392"/>
      <c r="AB19" s="393"/>
      <c r="AC19" s="386">
        <f t="shared" si="0"/>
        <v>0</v>
      </c>
      <c r="AD19" s="387">
        <f t="shared" si="1"/>
        <v>0</v>
      </c>
    </row>
    <row r="20" spans="1:30" s="388" customFormat="1" ht="63.75">
      <c r="A20" s="389" t="s">
        <v>81</v>
      </c>
      <c r="B20" s="376" t="s">
        <v>375</v>
      </c>
      <c r="C20" s="355" t="s">
        <v>71</v>
      </c>
      <c r="D20" s="355">
        <v>1</v>
      </c>
      <c r="E20" s="394">
        <f>(73.45*9+12.24*4+73.45*1+48.97*1+25.3*3+25.3*1+25.3*1+31.98*3+25.3*3+130*3)*6.5+900</f>
        <v>10785.005000000001</v>
      </c>
      <c r="F20" s="377">
        <f>+G20+N20</f>
        <v>10785.005000000001</v>
      </c>
      <c r="G20" s="377">
        <f t="shared" si="3"/>
        <v>6471.0030000000006</v>
      </c>
      <c r="H20" s="378"/>
      <c r="I20" s="378"/>
      <c r="J20" s="377">
        <f t="shared" si="4"/>
        <v>0</v>
      </c>
      <c r="K20" s="378"/>
      <c r="L20" s="378"/>
      <c r="M20" s="390">
        <f>+E20*0.6-J20</f>
        <v>6471.0030000000006</v>
      </c>
      <c r="N20" s="377">
        <f>+O20+P20+Q20</f>
        <v>4314.0020000000004</v>
      </c>
      <c r="O20" s="390"/>
      <c r="P20" s="390"/>
      <c r="Q20" s="390">
        <f>+E20-G20</f>
        <v>4314.0020000000004</v>
      </c>
      <c r="R20" s="391"/>
      <c r="S20" s="377"/>
      <c r="T20" s="377"/>
      <c r="U20" s="377"/>
      <c r="V20" s="377"/>
      <c r="W20" s="377"/>
      <c r="X20" s="377"/>
      <c r="Y20" s="377"/>
      <c r="Z20" s="392"/>
      <c r="AA20" s="392"/>
      <c r="AB20" s="393"/>
      <c r="AC20" s="386">
        <f t="shared" si="0"/>
        <v>0</v>
      </c>
      <c r="AD20" s="387">
        <f t="shared" si="1"/>
        <v>0</v>
      </c>
    </row>
    <row r="21" spans="1:30" ht="15.75">
      <c r="A21" s="282">
        <v>3</v>
      </c>
      <c r="B21" s="283" t="s">
        <v>36</v>
      </c>
      <c r="C21" s="282"/>
      <c r="D21" s="282"/>
      <c r="E21" s="284">
        <f>+E22+E23+E24+E25+E26</f>
        <v>3760</v>
      </c>
      <c r="F21" s="284">
        <f t="shared" ref="F21:Y21" si="7">+F22+F23+F24+F25+F26</f>
        <v>3300</v>
      </c>
      <c r="G21" s="263">
        <f t="shared" si="3"/>
        <v>1800</v>
      </c>
      <c r="H21" s="262">
        <f t="shared" si="7"/>
        <v>0</v>
      </c>
      <c r="I21" s="262">
        <f t="shared" si="7"/>
        <v>600</v>
      </c>
      <c r="J21" s="263">
        <f t="shared" si="4"/>
        <v>0</v>
      </c>
      <c r="K21" s="262">
        <f t="shared" si="7"/>
        <v>0</v>
      </c>
      <c r="L21" s="262">
        <f t="shared" si="7"/>
        <v>0</v>
      </c>
      <c r="M21" s="284">
        <f t="shared" si="7"/>
        <v>1200</v>
      </c>
      <c r="N21" s="284">
        <f t="shared" si="7"/>
        <v>1500</v>
      </c>
      <c r="O21" s="284">
        <f t="shared" si="7"/>
        <v>0</v>
      </c>
      <c r="P21" s="284">
        <f t="shared" si="7"/>
        <v>0</v>
      </c>
      <c r="Q21" s="284">
        <f t="shared" si="7"/>
        <v>1500</v>
      </c>
      <c r="R21" s="284">
        <f t="shared" si="7"/>
        <v>0</v>
      </c>
      <c r="S21" s="284">
        <f t="shared" si="7"/>
        <v>0</v>
      </c>
      <c r="T21" s="284">
        <f t="shared" si="7"/>
        <v>0</v>
      </c>
      <c r="U21" s="284">
        <f t="shared" si="7"/>
        <v>0</v>
      </c>
      <c r="V21" s="284">
        <f t="shared" si="7"/>
        <v>0</v>
      </c>
      <c r="W21" s="284">
        <f t="shared" si="7"/>
        <v>0</v>
      </c>
      <c r="X21" s="284">
        <f t="shared" si="7"/>
        <v>0</v>
      </c>
      <c r="Y21" s="284">
        <f t="shared" si="7"/>
        <v>460</v>
      </c>
      <c r="Z21" s="289">
        <f>+Z22+Z23+Z24+Z25+Z26</f>
        <v>0</v>
      </c>
      <c r="AA21" s="289">
        <f>+AA22+AA23+AA24+AA25+AA26</f>
        <v>0</v>
      </c>
      <c r="AB21" s="289">
        <f>+AB22+AB23+AB24+AB25+AB26</f>
        <v>0</v>
      </c>
      <c r="AC21" s="252">
        <f t="shared" si="0"/>
        <v>0</v>
      </c>
      <c r="AD21" s="253">
        <f t="shared" si="1"/>
        <v>0</v>
      </c>
    </row>
    <row r="22" spans="1:30" s="388" customFormat="1" ht="38.25">
      <c r="A22" s="587" t="s">
        <v>81</v>
      </c>
      <c r="B22" s="575" t="s">
        <v>376</v>
      </c>
      <c r="C22" s="588" t="s">
        <v>71</v>
      </c>
      <c r="D22" s="588">
        <v>1</v>
      </c>
      <c r="E22" s="589">
        <v>2000</v>
      </c>
      <c r="F22" s="394">
        <f>+G22+N22</f>
        <v>2000</v>
      </c>
      <c r="G22" s="394">
        <f t="shared" si="3"/>
        <v>1200</v>
      </c>
      <c r="H22" s="576"/>
      <c r="I22" s="576"/>
      <c r="J22" s="394">
        <f t="shared" si="4"/>
        <v>0</v>
      </c>
      <c r="K22" s="576"/>
      <c r="L22" s="576"/>
      <c r="M22" s="390">
        <f>+E22*0.6-J22</f>
        <v>1200</v>
      </c>
      <c r="N22" s="394">
        <f>+O22+P22+Q22</f>
        <v>800</v>
      </c>
      <c r="O22" s="390"/>
      <c r="P22" s="390"/>
      <c r="Q22" s="390">
        <f>+E22-G22</f>
        <v>800</v>
      </c>
      <c r="R22" s="590"/>
      <c r="S22" s="394"/>
      <c r="T22" s="394"/>
      <c r="U22" s="394"/>
      <c r="V22" s="394"/>
      <c r="W22" s="394"/>
      <c r="X22" s="394"/>
      <c r="Y22" s="394"/>
      <c r="Z22" s="591"/>
      <c r="AA22" s="591"/>
      <c r="AB22" s="592"/>
      <c r="AC22" s="580">
        <f t="shared" si="0"/>
        <v>0</v>
      </c>
      <c r="AD22" s="581">
        <f t="shared" si="1"/>
        <v>0</v>
      </c>
    </row>
    <row r="23" spans="1:30" s="582" customFormat="1" ht="15.75">
      <c r="A23" s="574" t="s">
        <v>70</v>
      </c>
      <c r="B23" s="575" t="s">
        <v>377</v>
      </c>
      <c r="C23" s="574" t="s">
        <v>71</v>
      </c>
      <c r="D23" s="1387">
        <v>2</v>
      </c>
      <c r="E23" s="394">
        <f>+D23*300</f>
        <v>600</v>
      </c>
      <c r="F23" s="394">
        <f>+G23+N23</f>
        <v>300</v>
      </c>
      <c r="G23" s="394">
        <f t="shared" si="3"/>
        <v>300</v>
      </c>
      <c r="H23" s="576"/>
      <c r="I23" s="576">
        <f>+D23*150</f>
        <v>300</v>
      </c>
      <c r="J23" s="394">
        <f t="shared" si="4"/>
        <v>0</v>
      </c>
      <c r="K23" s="576"/>
      <c r="L23" s="576"/>
      <c r="M23" s="394"/>
      <c r="N23" s="394">
        <f>+O23+P23+Q23</f>
        <v>0</v>
      </c>
      <c r="O23" s="394"/>
      <c r="P23" s="394"/>
      <c r="Q23" s="394"/>
      <c r="R23" s="394"/>
      <c r="S23" s="394"/>
      <c r="T23" s="394"/>
      <c r="U23" s="394"/>
      <c r="V23" s="394"/>
      <c r="W23" s="394"/>
      <c r="X23" s="394"/>
      <c r="Y23" s="394">
        <f>+E23-I23</f>
        <v>300</v>
      </c>
      <c r="Z23" s="577"/>
      <c r="AA23" s="578"/>
      <c r="AB23" s="579"/>
      <c r="AC23" s="580">
        <f t="shared" si="0"/>
        <v>0</v>
      </c>
      <c r="AD23" s="581">
        <f t="shared" si="1"/>
        <v>0</v>
      </c>
    </row>
    <row r="24" spans="1:30" s="582" customFormat="1" ht="15.75">
      <c r="A24" s="574" t="s">
        <v>70</v>
      </c>
      <c r="B24" s="575" t="s">
        <v>378</v>
      </c>
      <c r="C24" s="583" t="s">
        <v>71</v>
      </c>
      <c r="D24" s="1388">
        <v>1</v>
      </c>
      <c r="E24" s="394">
        <f>+D24*400</f>
        <v>400</v>
      </c>
      <c r="F24" s="394">
        <f>+G24+N24</f>
        <v>300</v>
      </c>
      <c r="G24" s="394">
        <f t="shared" si="3"/>
        <v>300</v>
      </c>
      <c r="H24" s="576"/>
      <c r="I24" s="576">
        <f>+D24*300</f>
        <v>300</v>
      </c>
      <c r="J24" s="394">
        <f t="shared" si="4"/>
        <v>0</v>
      </c>
      <c r="K24" s="576"/>
      <c r="L24" s="576"/>
      <c r="M24" s="394"/>
      <c r="N24" s="394">
        <f>+O24+P24+Q24</f>
        <v>0</v>
      </c>
      <c r="O24" s="394"/>
      <c r="P24" s="394"/>
      <c r="Q24" s="394"/>
      <c r="R24" s="394"/>
      <c r="S24" s="394"/>
      <c r="T24" s="394"/>
      <c r="U24" s="394"/>
      <c r="V24" s="394"/>
      <c r="W24" s="394"/>
      <c r="X24" s="394"/>
      <c r="Y24" s="394">
        <f>+E24-I24</f>
        <v>100</v>
      </c>
      <c r="Z24" s="584"/>
      <c r="AA24" s="585"/>
      <c r="AB24" s="586"/>
      <c r="AC24" s="580">
        <f t="shared" si="0"/>
        <v>0</v>
      </c>
      <c r="AD24" s="581">
        <f t="shared" si="1"/>
        <v>0</v>
      </c>
    </row>
    <row r="25" spans="1:30" s="388" customFormat="1" ht="15.75">
      <c r="A25" s="587" t="s">
        <v>81</v>
      </c>
      <c r="B25" s="575" t="s">
        <v>183</v>
      </c>
      <c r="C25" s="588" t="s">
        <v>71</v>
      </c>
      <c r="D25" s="588">
        <v>2</v>
      </c>
      <c r="E25" s="589">
        <f>+D25*60</f>
        <v>120</v>
      </c>
      <c r="F25" s="394">
        <f>+G25+N25</f>
        <v>60</v>
      </c>
      <c r="G25" s="394">
        <f t="shared" si="3"/>
        <v>0</v>
      </c>
      <c r="H25" s="576"/>
      <c r="I25" s="576"/>
      <c r="J25" s="394">
        <f t="shared" si="4"/>
        <v>0</v>
      </c>
      <c r="K25" s="576"/>
      <c r="L25" s="576"/>
      <c r="M25" s="593"/>
      <c r="N25" s="394">
        <f>+O25+P25+Q25</f>
        <v>60</v>
      </c>
      <c r="O25" s="593"/>
      <c r="P25" s="593"/>
      <c r="Q25" s="594">
        <f>+D25*30</f>
        <v>60</v>
      </c>
      <c r="R25" s="590"/>
      <c r="S25" s="394"/>
      <c r="T25" s="394"/>
      <c r="U25" s="394"/>
      <c r="V25" s="394"/>
      <c r="W25" s="394"/>
      <c r="X25" s="394"/>
      <c r="Y25" s="394">
        <f>+E25-Q25</f>
        <v>60</v>
      </c>
      <c r="Z25" s="591"/>
      <c r="AA25" s="591"/>
      <c r="AB25" s="592"/>
      <c r="AC25" s="580">
        <f t="shared" si="0"/>
        <v>0</v>
      </c>
      <c r="AD25" s="581">
        <f t="shared" si="1"/>
        <v>0</v>
      </c>
    </row>
    <row r="26" spans="1:30" s="388" customFormat="1" ht="15.75">
      <c r="A26" s="587" t="s">
        <v>81</v>
      </c>
      <c r="B26" s="575" t="s">
        <v>379</v>
      </c>
      <c r="C26" s="588" t="s">
        <v>76</v>
      </c>
      <c r="D26" s="588">
        <v>16</v>
      </c>
      <c r="E26" s="589">
        <f>+D26*40</f>
        <v>640</v>
      </c>
      <c r="F26" s="394">
        <f>+G26+N26</f>
        <v>640</v>
      </c>
      <c r="G26" s="394">
        <f t="shared" si="3"/>
        <v>0</v>
      </c>
      <c r="H26" s="576"/>
      <c r="I26" s="576"/>
      <c r="J26" s="394">
        <f t="shared" si="4"/>
        <v>0</v>
      </c>
      <c r="K26" s="576"/>
      <c r="L26" s="576"/>
      <c r="M26" s="593"/>
      <c r="N26" s="394">
        <f>+O26+P26+Q26</f>
        <v>640</v>
      </c>
      <c r="O26" s="593"/>
      <c r="P26" s="593"/>
      <c r="Q26" s="595">
        <f>+E26</f>
        <v>640</v>
      </c>
      <c r="R26" s="590"/>
      <c r="S26" s="394"/>
      <c r="T26" s="394"/>
      <c r="U26" s="394"/>
      <c r="V26" s="394"/>
      <c r="W26" s="394"/>
      <c r="X26" s="394"/>
      <c r="Y26" s="394"/>
      <c r="Z26" s="591"/>
      <c r="AA26" s="591"/>
      <c r="AB26" s="592"/>
      <c r="AC26" s="580">
        <f t="shared" si="0"/>
        <v>0</v>
      </c>
      <c r="AD26" s="581">
        <f t="shared" si="1"/>
        <v>0</v>
      </c>
    </row>
    <row r="27" spans="1:30" ht="15.75">
      <c r="A27" s="293">
        <v>4</v>
      </c>
      <c r="B27" s="283" t="s">
        <v>44</v>
      </c>
      <c r="C27" s="282"/>
      <c r="D27" s="282"/>
      <c r="E27" s="284">
        <f>+E28</f>
        <v>0</v>
      </c>
      <c r="F27" s="284">
        <f t="shared" ref="F27:Y27" si="8">+F28</f>
        <v>0</v>
      </c>
      <c r="G27" s="263">
        <f t="shared" si="3"/>
        <v>0</v>
      </c>
      <c r="H27" s="262">
        <f t="shared" si="8"/>
        <v>0</v>
      </c>
      <c r="I27" s="262">
        <f t="shared" si="8"/>
        <v>0</v>
      </c>
      <c r="J27" s="263">
        <f t="shared" si="4"/>
        <v>0</v>
      </c>
      <c r="K27" s="262">
        <f t="shared" si="8"/>
        <v>0</v>
      </c>
      <c r="L27" s="262">
        <f t="shared" si="8"/>
        <v>0</v>
      </c>
      <c r="M27" s="262">
        <f t="shared" si="8"/>
        <v>0</v>
      </c>
      <c r="N27" s="284">
        <f t="shared" si="8"/>
        <v>0</v>
      </c>
      <c r="O27" s="284">
        <f t="shared" si="8"/>
        <v>0</v>
      </c>
      <c r="P27" s="284">
        <f t="shared" si="8"/>
        <v>0</v>
      </c>
      <c r="Q27" s="284">
        <f t="shared" si="8"/>
        <v>0</v>
      </c>
      <c r="R27" s="284">
        <f t="shared" si="8"/>
        <v>0</v>
      </c>
      <c r="S27" s="284">
        <f t="shared" si="8"/>
        <v>0</v>
      </c>
      <c r="T27" s="284">
        <f t="shared" si="8"/>
        <v>0</v>
      </c>
      <c r="U27" s="284">
        <f t="shared" si="8"/>
        <v>0</v>
      </c>
      <c r="V27" s="284">
        <f t="shared" si="8"/>
        <v>0</v>
      </c>
      <c r="W27" s="284">
        <f t="shared" si="8"/>
        <v>0</v>
      </c>
      <c r="X27" s="284">
        <f t="shared" si="8"/>
        <v>0</v>
      </c>
      <c r="Y27" s="284">
        <f t="shared" si="8"/>
        <v>0</v>
      </c>
      <c r="Z27" s="285"/>
      <c r="AA27" s="285"/>
      <c r="AB27" s="286"/>
      <c r="AC27" s="252">
        <f t="shared" si="0"/>
        <v>0</v>
      </c>
      <c r="AD27" s="253">
        <f t="shared" si="1"/>
        <v>0</v>
      </c>
    </row>
    <row r="28" spans="1:30" s="388" customFormat="1" ht="38.25">
      <c r="A28" s="389" t="s">
        <v>81</v>
      </c>
      <c r="B28" s="376" t="s">
        <v>380</v>
      </c>
      <c r="C28" s="395" t="s">
        <v>71</v>
      </c>
      <c r="D28" s="395">
        <v>1</v>
      </c>
      <c r="E28" s="396"/>
      <c r="F28" s="377"/>
      <c r="G28" s="377"/>
      <c r="H28" s="378"/>
      <c r="I28" s="378"/>
      <c r="J28" s="377"/>
      <c r="K28" s="378"/>
      <c r="L28" s="378"/>
      <c r="M28" s="377"/>
      <c r="N28" s="377"/>
      <c r="O28" s="377"/>
      <c r="P28" s="377"/>
      <c r="Q28" s="377"/>
      <c r="R28" s="379"/>
      <c r="S28" s="380"/>
      <c r="T28" s="381"/>
      <c r="U28" s="381"/>
      <c r="V28" s="381"/>
      <c r="W28" s="381"/>
      <c r="X28" s="381"/>
      <c r="Y28" s="381"/>
      <c r="Z28" s="392"/>
      <c r="AA28" s="392"/>
      <c r="AB28" s="393"/>
      <c r="AC28" s="386">
        <f t="shared" si="0"/>
        <v>0</v>
      </c>
      <c r="AD28" s="387">
        <f t="shared" si="1"/>
        <v>0</v>
      </c>
    </row>
    <row r="29" spans="1:30">
      <c r="A29" s="1550" t="s">
        <v>517</v>
      </c>
      <c r="B29" s="1550"/>
    </row>
    <row r="30" spans="1:30">
      <c r="A30" s="1410" t="s">
        <v>61</v>
      </c>
      <c r="B30" s="1552" t="s">
        <v>146</v>
      </c>
      <c r="C30" s="1410" t="s">
        <v>63</v>
      </c>
      <c r="D30" s="1553" t="s">
        <v>147</v>
      </c>
      <c r="E30" s="1553" t="s">
        <v>508</v>
      </c>
      <c r="F30" s="1553" t="s">
        <v>158</v>
      </c>
      <c r="G30" s="1553" t="s">
        <v>509</v>
      </c>
      <c r="H30" s="1553"/>
      <c r="I30" s="1553"/>
      <c r="J30" s="1553"/>
      <c r="K30" s="1553"/>
      <c r="L30" s="1553"/>
      <c r="M30" s="1553"/>
      <c r="N30" s="1553"/>
      <c r="O30" s="1553"/>
      <c r="P30" s="1553"/>
      <c r="Q30" s="1553"/>
      <c r="R30" s="1553"/>
      <c r="S30" s="1553"/>
      <c r="T30" s="1553"/>
      <c r="U30" s="1553"/>
    </row>
    <row r="31" spans="1:30">
      <c r="A31" s="1410"/>
      <c r="B31" s="1552"/>
      <c r="C31" s="1410"/>
      <c r="D31" s="1553"/>
      <c r="E31" s="1553"/>
      <c r="F31" s="1553"/>
      <c r="G31" s="1553" t="s">
        <v>510</v>
      </c>
      <c r="H31" s="1554" t="s">
        <v>511</v>
      </c>
      <c r="I31" s="1555"/>
      <c r="J31" s="1555"/>
      <c r="K31" s="1555"/>
      <c r="L31" s="1556"/>
      <c r="M31" s="1557" t="s">
        <v>164</v>
      </c>
      <c r="N31" s="1549" t="s">
        <v>512</v>
      </c>
      <c r="O31" s="1553" t="s">
        <v>163</v>
      </c>
      <c r="P31" s="1549" t="s">
        <v>2</v>
      </c>
      <c r="Q31" s="1549"/>
      <c r="R31" s="1549"/>
      <c r="S31" s="1549"/>
      <c r="T31" s="1553" t="s">
        <v>148</v>
      </c>
      <c r="U31" s="1553" t="s">
        <v>473</v>
      </c>
    </row>
    <row r="32" spans="1:30">
      <c r="A32" s="1410"/>
      <c r="B32" s="1552"/>
      <c r="C32" s="1410"/>
      <c r="D32" s="1553"/>
      <c r="E32" s="1553"/>
      <c r="F32" s="1553"/>
      <c r="G32" s="1553"/>
      <c r="H32" s="1549" t="s">
        <v>513</v>
      </c>
      <c r="I32" s="1549" t="s">
        <v>364</v>
      </c>
      <c r="J32" s="1549" t="s">
        <v>165</v>
      </c>
      <c r="K32" s="1549" t="s">
        <v>514</v>
      </c>
      <c r="L32" s="1549" t="s">
        <v>187</v>
      </c>
      <c r="M32" s="1558"/>
      <c r="N32" s="1549"/>
      <c r="O32" s="1553"/>
      <c r="P32" s="1549" t="s">
        <v>360</v>
      </c>
      <c r="Q32" s="1549" t="s">
        <v>361</v>
      </c>
      <c r="R32" s="1549" t="s">
        <v>362</v>
      </c>
      <c r="S32" s="1549" t="s">
        <v>363</v>
      </c>
      <c r="T32" s="1553"/>
      <c r="U32" s="1553"/>
    </row>
    <row r="33" spans="1:30">
      <c r="A33" s="1410"/>
      <c r="B33" s="1552"/>
      <c r="C33" s="1410"/>
      <c r="D33" s="1553"/>
      <c r="E33" s="1553"/>
      <c r="F33" s="1553"/>
      <c r="G33" s="1553"/>
      <c r="H33" s="1549"/>
      <c r="I33" s="1549"/>
      <c r="J33" s="1549"/>
      <c r="K33" s="1549"/>
      <c r="L33" s="1549"/>
      <c r="M33" s="1558"/>
      <c r="N33" s="1549"/>
      <c r="O33" s="1553"/>
      <c r="P33" s="1549"/>
      <c r="Q33" s="1549"/>
      <c r="R33" s="1549"/>
      <c r="S33" s="1549"/>
      <c r="T33" s="1553"/>
      <c r="U33" s="1553"/>
    </row>
    <row r="34" spans="1:30" ht="31.5" customHeight="1">
      <c r="A34" s="1410"/>
      <c r="B34" s="1552"/>
      <c r="C34" s="1410"/>
      <c r="D34" s="1553"/>
      <c r="E34" s="1553"/>
      <c r="F34" s="1553"/>
      <c r="G34" s="1553"/>
      <c r="H34" s="1549"/>
      <c r="I34" s="1549"/>
      <c r="J34" s="1549"/>
      <c r="K34" s="1549"/>
      <c r="L34" s="1549"/>
      <c r="M34" s="1559"/>
      <c r="N34" s="1549"/>
      <c r="O34" s="1553"/>
      <c r="P34" s="1549"/>
      <c r="Q34" s="1549"/>
      <c r="R34" s="1549"/>
      <c r="S34" s="1549"/>
      <c r="T34" s="1553"/>
      <c r="U34" s="1553"/>
    </row>
    <row r="35" spans="1:30" ht="51">
      <c r="A35" s="1"/>
      <c r="B35" s="397"/>
      <c r="C35" s="1"/>
      <c r="D35" s="398"/>
      <c r="E35" s="410" t="s">
        <v>515</v>
      </c>
      <c r="F35" s="411" t="s">
        <v>516</v>
      </c>
      <c r="G35" s="411">
        <v>3</v>
      </c>
      <c r="H35" s="411">
        <v>4</v>
      </c>
      <c r="I35" s="411">
        <v>5</v>
      </c>
      <c r="J35" s="411">
        <v>6</v>
      </c>
      <c r="K35" s="411">
        <v>7</v>
      </c>
      <c r="L35" s="411">
        <v>8</v>
      </c>
      <c r="M35" s="411">
        <v>9</v>
      </c>
      <c r="N35" s="411">
        <v>10</v>
      </c>
      <c r="O35" s="411">
        <v>11</v>
      </c>
      <c r="P35" s="411">
        <v>12</v>
      </c>
      <c r="Q35" s="411">
        <v>13</v>
      </c>
      <c r="R35" s="411">
        <v>14</v>
      </c>
      <c r="S35" s="411">
        <v>15</v>
      </c>
      <c r="T35" s="411">
        <v>16</v>
      </c>
      <c r="U35" s="411">
        <v>17</v>
      </c>
    </row>
    <row r="36" spans="1:30">
      <c r="A36" s="16"/>
      <c r="B36" s="397" t="s">
        <v>5</v>
      </c>
      <c r="C36" s="1"/>
      <c r="D36" s="398"/>
      <c r="E36" s="398">
        <f>E37+E38+E48+E58+E66+E69</f>
        <v>47181.8</v>
      </c>
      <c r="F36" s="399">
        <f>F37+F38+F48+F58+F66+F69</f>
        <v>42035</v>
      </c>
      <c r="G36" s="398">
        <f t="shared" ref="G36:U36" si="9">G37+G38+G48+G58+G66+G69</f>
        <v>41155</v>
      </c>
      <c r="H36" s="400">
        <f t="shared" si="9"/>
        <v>1140</v>
      </c>
      <c r="I36" s="400">
        <f t="shared" si="9"/>
        <v>2250</v>
      </c>
      <c r="J36" s="398">
        <f>J37+J38+J48+J58+J66+J69</f>
        <v>2365</v>
      </c>
      <c r="K36" s="400">
        <f t="shared" si="9"/>
        <v>13400</v>
      </c>
      <c r="L36" s="400">
        <f t="shared" si="9"/>
        <v>22000</v>
      </c>
      <c r="M36" s="401">
        <f t="shared" si="9"/>
        <v>880</v>
      </c>
      <c r="N36" s="398">
        <f t="shared" si="9"/>
        <v>2430</v>
      </c>
      <c r="O36" s="398">
        <f t="shared" si="9"/>
        <v>0</v>
      </c>
      <c r="P36" s="398">
        <f t="shared" si="9"/>
        <v>0</v>
      </c>
      <c r="Q36" s="398">
        <f t="shared" si="9"/>
        <v>0</v>
      </c>
      <c r="R36" s="398">
        <f t="shared" si="9"/>
        <v>0</v>
      </c>
      <c r="S36" s="398">
        <f t="shared" si="9"/>
        <v>0</v>
      </c>
      <c r="T36" s="398">
        <f t="shared" si="9"/>
        <v>0</v>
      </c>
      <c r="U36" s="398">
        <f t="shared" si="9"/>
        <v>2716.8</v>
      </c>
    </row>
    <row r="37" spans="1:30">
      <c r="A37" s="402">
        <v>1</v>
      </c>
      <c r="B37" s="403" t="s">
        <v>475</v>
      </c>
      <c r="C37" s="404" t="s">
        <v>71</v>
      </c>
      <c r="D37" s="402">
        <v>1</v>
      </c>
      <c r="E37" s="404">
        <f>F37+N37+O37+T37+U37</f>
        <v>200</v>
      </c>
      <c r="F37" s="404">
        <f>G37+M37</f>
        <v>200</v>
      </c>
      <c r="G37" s="404">
        <f>H37+I37+J37+K37+L37</f>
        <v>0</v>
      </c>
      <c r="H37" s="404"/>
      <c r="I37" s="404"/>
      <c r="J37" s="404"/>
      <c r="K37" s="404"/>
      <c r="L37" s="402"/>
      <c r="M37" s="402">
        <v>200</v>
      </c>
      <c r="N37" s="404"/>
      <c r="O37" s="404">
        <f>P37+Q37+R37+S37</f>
        <v>0</v>
      </c>
      <c r="P37" s="404"/>
      <c r="Q37" s="404"/>
      <c r="R37" s="404"/>
      <c r="S37" s="404"/>
      <c r="T37" s="404">
        <f>T59</f>
        <v>0</v>
      </c>
      <c r="U37" s="404"/>
    </row>
    <row r="38" spans="1:30">
      <c r="A38" s="405">
        <v>2</v>
      </c>
      <c r="B38" s="406" t="s">
        <v>476</v>
      </c>
      <c r="C38" s="407"/>
      <c r="D38" s="404"/>
      <c r="E38" s="404">
        <f>F38+N38+O38+T38+U38</f>
        <v>10611.8</v>
      </c>
      <c r="F38" s="404">
        <f>G38+M38</f>
        <v>10145</v>
      </c>
      <c r="G38" s="404">
        <f>H38+I38+J38+K38+L38</f>
        <v>10145</v>
      </c>
      <c r="H38" s="404">
        <f>H39+H42+H46+H47</f>
        <v>780</v>
      </c>
      <c r="I38" s="404">
        <f>I39+I42+I46+I47</f>
        <v>0</v>
      </c>
      <c r="J38" s="404">
        <f>J39+J42+J46+J47</f>
        <v>2365</v>
      </c>
      <c r="K38" s="404">
        <f>K39+K42+K46+K47</f>
        <v>0</v>
      </c>
      <c r="L38" s="402">
        <f>L39+L42+L46+L47</f>
        <v>7000</v>
      </c>
      <c r="M38" s="402">
        <f t="shared" ref="M38:U38" si="10">M39+M42+M46+M47</f>
        <v>0</v>
      </c>
      <c r="N38" s="404">
        <f t="shared" si="10"/>
        <v>0</v>
      </c>
      <c r="O38" s="404">
        <f t="shared" si="10"/>
        <v>0</v>
      </c>
      <c r="P38" s="404">
        <f t="shared" si="10"/>
        <v>0</v>
      </c>
      <c r="Q38" s="404">
        <f t="shared" si="10"/>
        <v>0</v>
      </c>
      <c r="R38" s="404">
        <f t="shared" si="10"/>
        <v>0</v>
      </c>
      <c r="S38" s="404">
        <f t="shared" si="10"/>
        <v>0</v>
      </c>
      <c r="T38" s="404">
        <f t="shared" si="10"/>
        <v>0</v>
      </c>
      <c r="U38" s="404">
        <f t="shared" si="10"/>
        <v>466.8</v>
      </c>
    </row>
    <row r="39" spans="1:30">
      <c r="A39" s="405" t="s">
        <v>477</v>
      </c>
      <c r="B39" s="406" t="s">
        <v>478</v>
      </c>
      <c r="C39" s="407"/>
      <c r="D39" s="408">
        <f t="shared" ref="D39:U39" si="11">D40+D41</f>
        <v>1.431</v>
      </c>
      <c r="E39" s="409">
        <f>F39+N39+O39+T39+U39</f>
        <v>7000</v>
      </c>
      <c r="F39" s="409">
        <f t="shared" ref="F39:F72" si="12">G39+M39</f>
        <v>7000</v>
      </c>
      <c r="G39" s="409">
        <f t="shared" ref="G39:G72" si="13">H39+I39+J39+K39+L39</f>
        <v>7000</v>
      </c>
      <c r="H39" s="410">
        <f t="shared" si="11"/>
        <v>0</v>
      </c>
      <c r="I39" s="410">
        <f t="shared" si="11"/>
        <v>0</v>
      </c>
      <c r="J39" s="410">
        <f t="shared" si="11"/>
        <v>0</v>
      </c>
      <c r="K39" s="410">
        <f t="shared" si="11"/>
        <v>0</v>
      </c>
      <c r="L39" s="411">
        <f t="shared" si="11"/>
        <v>7000</v>
      </c>
      <c r="M39" s="411">
        <f t="shared" si="11"/>
        <v>0</v>
      </c>
      <c r="N39" s="404">
        <f t="shared" si="11"/>
        <v>0</v>
      </c>
      <c r="O39" s="404">
        <f t="shared" si="11"/>
        <v>0</v>
      </c>
      <c r="P39" s="404">
        <f t="shared" si="11"/>
        <v>0</v>
      </c>
      <c r="Q39" s="404">
        <f t="shared" si="11"/>
        <v>0</v>
      </c>
      <c r="R39" s="404">
        <f t="shared" si="11"/>
        <v>0</v>
      </c>
      <c r="S39" s="404">
        <f t="shared" si="11"/>
        <v>0</v>
      </c>
      <c r="T39" s="404">
        <f t="shared" si="11"/>
        <v>0</v>
      </c>
      <c r="U39" s="404">
        <f t="shared" si="11"/>
        <v>0</v>
      </c>
    </row>
    <row r="40" spans="1:30">
      <c r="A40" s="270"/>
      <c r="B40" s="412"/>
      <c r="C40" s="2"/>
      <c r="D40" s="409"/>
      <c r="E40" s="409">
        <f t="shared" ref="E40:E72" si="14">F40+N40+O40+T40+U40</f>
        <v>0</v>
      </c>
      <c r="F40" s="409">
        <f t="shared" si="12"/>
        <v>0</v>
      </c>
      <c r="G40" s="409">
        <f t="shared" si="13"/>
        <v>0</v>
      </c>
      <c r="H40" s="413"/>
      <c r="I40" s="413"/>
      <c r="J40" s="413"/>
      <c r="K40" s="413"/>
      <c r="L40" s="414"/>
      <c r="M40" s="414"/>
      <c r="N40" s="413"/>
      <c r="O40" s="413"/>
      <c r="P40" s="413"/>
      <c r="Q40" s="413"/>
      <c r="R40" s="413"/>
      <c r="S40" s="413"/>
      <c r="T40" s="413"/>
      <c r="U40" s="413">
        <v>0</v>
      </c>
    </row>
    <row r="41" spans="1:30" ht="25.5">
      <c r="A41" s="270" t="s">
        <v>70</v>
      </c>
      <c r="B41" s="412" t="s">
        <v>479</v>
      </c>
      <c r="C41" s="2" t="s">
        <v>69</v>
      </c>
      <c r="D41" s="415">
        <v>1.431</v>
      </c>
      <c r="E41" s="409">
        <f t="shared" si="14"/>
        <v>7000</v>
      </c>
      <c r="F41" s="409">
        <f t="shared" si="12"/>
        <v>7000</v>
      </c>
      <c r="G41" s="409">
        <f t="shared" si="13"/>
        <v>7000</v>
      </c>
      <c r="H41" s="413"/>
      <c r="I41" s="413"/>
      <c r="J41" s="413"/>
      <c r="K41" s="413"/>
      <c r="L41" s="414">
        <v>7000</v>
      </c>
      <c r="M41" s="414"/>
      <c r="N41" s="413"/>
      <c r="O41" s="413"/>
      <c r="P41" s="413"/>
      <c r="Q41" s="413"/>
      <c r="R41" s="413"/>
      <c r="S41" s="413"/>
      <c r="T41" s="413"/>
      <c r="U41" s="413">
        <v>0</v>
      </c>
    </row>
    <row r="42" spans="1:30">
      <c r="A42" s="405" t="s">
        <v>7</v>
      </c>
      <c r="B42" s="406" t="s">
        <v>480</v>
      </c>
      <c r="C42" s="407"/>
      <c r="D42" s="408">
        <f>D43+D44+D45</f>
        <v>0.36</v>
      </c>
      <c r="E42" s="409">
        <f t="shared" si="14"/>
        <v>452.8</v>
      </c>
      <c r="F42" s="409">
        <f t="shared" si="12"/>
        <v>280</v>
      </c>
      <c r="G42" s="409">
        <f t="shared" si="13"/>
        <v>280</v>
      </c>
      <c r="H42" s="410">
        <f t="shared" ref="H42:U42" si="15">H43+H44+H45</f>
        <v>0</v>
      </c>
      <c r="I42" s="410">
        <f t="shared" si="15"/>
        <v>0</v>
      </c>
      <c r="J42" s="410">
        <f t="shared" si="15"/>
        <v>280</v>
      </c>
      <c r="K42" s="410">
        <f t="shared" si="15"/>
        <v>0</v>
      </c>
      <c r="L42" s="410">
        <f t="shared" si="15"/>
        <v>0</v>
      </c>
      <c r="M42" s="410">
        <f t="shared" si="15"/>
        <v>0</v>
      </c>
      <c r="N42" s="404">
        <f t="shared" si="15"/>
        <v>0</v>
      </c>
      <c r="O42" s="404">
        <f t="shared" si="15"/>
        <v>0</v>
      </c>
      <c r="P42" s="404">
        <f t="shared" si="15"/>
        <v>0</v>
      </c>
      <c r="Q42" s="404">
        <f t="shared" si="15"/>
        <v>0</v>
      </c>
      <c r="R42" s="404">
        <f t="shared" si="15"/>
        <v>0</v>
      </c>
      <c r="S42" s="404">
        <f t="shared" si="15"/>
        <v>0</v>
      </c>
      <c r="T42" s="404">
        <f t="shared" si="15"/>
        <v>0</v>
      </c>
      <c r="U42" s="404">
        <f t="shared" si="15"/>
        <v>172.8</v>
      </c>
    </row>
    <row r="43" spans="1:30" ht="25.5">
      <c r="A43" s="416" t="s">
        <v>70</v>
      </c>
      <c r="B43" s="412" t="s">
        <v>481</v>
      </c>
      <c r="C43" s="2" t="s">
        <v>69</v>
      </c>
      <c r="D43" s="415">
        <v>0.16</v>
      </c>
      <c r="E43" s="409">
        <f t="shared" si="14"/>
        <v>196.8</v>
      </c>
      <c r="F43" s="409">
        <f t="shared" si="12"/>
        <v>120</v>
      </c>
      <c r="G43" s="409">
        <f t="shared" si="13"/>
        <v>120</v>
      </c>
      <c r="H43" s="413"/>
      <c r="I43" s="413"/>
      <c r="J43" s="413">
        <v>120</v>
      </c>
      <c r="K43" s="413"/>
      <c r="L43" s="413"/>
      <c r="M43" s="413"/>
      <c r="N43" s="413"/>
      <c r="O43" s="413"/>
      <c r="P43" s="413"/>
      <c r="Q43" s="413"/>
      <c r="R43" s="413"/>
      <c r="S43" s="413"/>
      <c r="T43" s="413"/>
      <c r="U43" s="413">
        <f>D43*800*0.6</f>
        <v>76.8</v>
      </c>
    </row>
    <row r="44" spans="1:30" ht="25.5">
      <c r="A44" s="416" t="s">
        <v>70</v>
      </c>
      <c r="B44" s="412" t="s">
        <v>482</v>
      </c>
      <c r="C44" s="2" t="s">
        <v>69</v>
      </c>
      <c r="D44" s="415">
        <v>0.2</v>
      </c>
      <c r="E44" s="409">
        <f t="shared" si="14"/>
        <v>256</v>
      </c>
      <c r="F44" s="409">
        <f t="shared" si="12"/>
        <v>160</v>
      </c>
      <c r="G44" s="409">
        <f t="shared" si="13"/>
        <v>160</v>
      </c>
      <c r="H44" s="413"/>
      <c r="I44" s="413"/>
      <c r="J44" s="413">
        <v>160</v>
      </c>
      <c r="K44" s="413"/>
      <c r="L44" s="413"/>
      <c r="M44" s="413"/>
      <c r="N44" s="413"/>
      <c r="O44" s="413"/>
      <c r="P44" s="413"/>
      <c r="Q44" s="413"/>
      <c r="R44" s="413"/>
      <c r="S44" s="413"/>
      <c r="T44" s="413"/>
      <c r="U44" s="413">
        <f>D44*800*0.6</f>
        <v>96</v>
      </c>
    </row>
    <row r="45" spans="1:30">
      <c r="A45" s="270"/>
      <c r="B45" s="412"/>
      <c r="C45" s="2"/>
      <c r="D45" s="409"/>
      <c r="E45" s="409">
        <f t="shared" si="14"/>
        <v>0</v>
      </c>
      <c r="F45" s="409">
        <f t="shared" si="12"/>
        <v>0</v>
      </c>
      <c r="G45" s="409">
        <f t="shared" si="13"/>
        <v>0</v>
      </c>
      <c r="H45" s="413"/>
      <c r="I45" s="413"/>
      <c r="J45" s="413"/>
      <c r="K45" s="413"/>
      <c r="L45" s="413"/>
      <c r="M45" s="413"/>
      <c r="N45" s="413"/>
      <c r="O45" s="413"/>
      <c r="P45" s="413"/>
      <c r="Q45" s="413"/>
      <c r="R45" s="413"/>
      <c r="S45" s="413"/>
      <c r="T45" s="413"/>
      <c r="U45" s="413"/>
    </row>
    <row r="46" spans="1:30" s="388" customFormat="1">
      <c r="A46" s="427" t="s">
        <v>411</v>
      </c>
      <c r="B46" s="428" t="s">
        <v>483</v>
      </c>
      <c r="C46" s="355" t="s">
        <v>69</v>
      </c>
      <c r="D46" s="429">
        <v>1.93</v>
      </c>
      <c r="E46" s="430">
        <f t="shared" si="14"/>
        <v>1074</v>
      </c>
      <c r="F46" s="430">
        <f t="shared" si="12"/>
        <v>780</v>
      </c>
      <c r="G46" s="430">
        <f t="shared" si="13"/>
        <v>780</v>
      </c>
      <c r="H46" s="431">
        <v>780</v>
      </c>
      <c r="I46" s="431"/>
      <c r="J46" s="431"/>
      <c r="K46" s="431"/>
      <c r="L46" s="431"/>
      <c r="M46" s="431"/>
      <c r="N46" s="425"/>
      <c r="O46" s="425"/>
      <c r="P46" s="425"/>
      <c r="Q46" s="425"/>
      <c r="R46" s="425"/>
      <c r="S46" s="425"/>
      <c r="T46" s="425"/>
      <c r="U46" s="425">
        <v>294</v>
      </c>
      <c r="V46" s="432"/>
      <c r="W46" s="435">
        <f>E46-H46</f>
        <v>294</v>
      </c>
      <c r="X46" s="433"/>
      <c r="Y46" s="433"/>
      <c r="Z46" s="434"/>
      <c r="AA46" s="434"/>
      <c r="AB46" s="432"/>
      <c r="AC46" s="432"/>
      <c r="AD46" s="432"/>
    </row>
    <row r="47" spans="1:30">
      <c r="A47" s="405" t="s">
        <v>414</v>
      </c>
      <c r="B47" s="406" t="s">
        <v>161</v>
      </c>
      <c r="C47" s="2" t="s">
        <v>69</v>
      </c>
      <c r="D47" s="410">
        <v>2.86</v>
      </c>
      <c r="E47" s="409">
        <f t="shared" si="14"/>
        <v>2085</v>
      </c>
      <c r="F47" s="409">
        <f t="shared" si="12"/>
        <v>2085</v>
      </c>
      <c r="G47" s="409">
        <f t="shared" si="13"/>
        <v>2085</v>
      </c>
      <c r="H47" s="410"/>
      <c r="I47" s="410"/>
      <c r="J47" s="410">
        <v>2085</v>
      </c>
      <c r="K47" s="410"/>
      <c r="L47" s="410"/>
      <c r="M47" s="410"/>
      <c r="N47" s="404"/>
      <c r="O47" s="404"/>
      <c r="P47" s="404"/>
      <c r="Q47" s="404"/>
      <c r="R47" s="404"/>
      <c r="S47" s="404"/>
      <c r="T47" s="404"/>
      <c r="U47" s="404"/>
    </row>
    <row r="48" spans="1:30">
      <c r="A48" s="417">
        <v>3</v>
      </c>
      <c r="B48" s="418" t="s">
        <v>75</v>
      </c>
      <c r="C48" s="417"/>
      <c r="D48" s="404"/>
      <c r="E48" s="404">
        <f t="shared" si="14"/>
        <v>27200</v>
      </c>
      <c r="F48" s="404">
        <f>G48+M48</f>
        <v>27200</v>
      </c>
      <c r="G48" s="404">
        <f>H48+I48+J48+K48+L48</f>
        <v>27200</v>
      </c>
      <c r="H48" s="404">
        <f>H49+H54</f>
        <v>0</v>
      </c>
      <c r="I48" s="404">
        <f>I49+I54</f>
        <v>0</v>
      </c>
      <c r="J48" s="404">
        <f>J49+J54</f>
        <v>0</v>
      </c>
      <c r="K48" s="402">
        <f>K49+K54</f>
        <v>12600</v>
      </c>
      <c r="L48" s="402">
        <f>L49+L54</f>
        <v>14600</v>
      </c>
      <c r="M48" s="404">
        <f t="shared" ref="M48:U48" si="16">M49+M54</f>
        <v>0</v>
      </c>
      <c r="N48" s="404">
        <f t="shared" si="16"/>
        <v>0</v>
      </c>
      <c r="O48" s="404">
        <f t="shared" si="16"/>
        <v>0</v>
      </c>
      <c r="P48" s="404">
        <f t="shared" si="16"/>
        <v>0</v>
      </c>
      <c r="Q48" s="404">
        <f t="shared" si="16"/>
        <v>0</v>
      </c>
      <c r="R48" s="404">
        <f t="shared" si="16"/>
        <v>0</v>
      </c>
      <c r="S48" s="404">
        <f t="shared" si="16"/>
        <v>0</v>
      </c>
      <c r="T48" s="404">
        <f t="shared" si="16"/>
        <v>0</v>
      </c>
      <c r="U48" s="404">
        <f t="shared" si="16"/>
        <v>0</v>
      </c>
    </row>
    <row r="49" spans="1:30" ht="15.75">
      <c r="A49" s="407" t="s">
        <v>189</v>
      </c>
      <c r="B49" s="406" t="s">
        <v>484</v>
      </c>
      <c r="C49" s="407"/>
      <c r="D49" s="419"/>
      <c r="E49" s="404">
        <f t="shared" si="14"/>
        <v>17000</v>
      </c>
      <c r="F49" s="404">
        <f t="shared" si="12"/>
        <v>17000</v>
      </c>
      <c r="G49" s="404">
        <f t="shared" si="13"/>
        <v>17000</v>
      </c>
      <c r="H49" s="420">
        <f t="shared" ref="H49:U49" si="17">H50+H51+H52+H53</f>
        <v>0</v>
      </c>
      <c r="I49" s="420">
        <f t="shared" si="17"/>
        <v>0</v>
      </c>
      <c r="J49" s="420">
        <f t="shared" si="17"/>
        <v>0</v>
      </c>
      <c r="K49" s="421">
        <f t="shared" si="17"/>
        <v>12600</v>
      </c>
      <c r="L49" s="421">
        <f t="shared" si="17"/>
        <v>4400</v>
      </c>
      <c r="M49" s="420">
        <f t="shared" si="17"/>
        <v>0</v>
      </c>
      <c r="N49" s="420">
        <f t="shared" si="17"/>
        <v>0</v>
      </c>
      <c r="O49" s="420">
        <f t="shared" si="17"/>
        <v>0</v>
      </c>
      <c r="P49" s="420">
        <f t="shared" si="17"/>
        <v>0</v>
      </c>
      <c r="Q49" s="420">
        <f t="shared" si="17"/>
        <v>0</v>
      </c>
      <c r="R49" s="420">
        <f t="shared" si="17"/>
        <v>0</v>
      </c>
      <c r="S49" s="420">
        <f t="shared" si="17"/>
        <v>0</v>
      </c>
      <c r="T49" s="420">
        <f t="shared" si="17"/>
        <v>0</v>
      </c>
      <c r="U49" s="420">
        <f t="shared" si="17"/>
        <v>0</v>
      </c>
    </row>
    <row r="50" spans="1:30" s="388" customFormat="1" ht="63.75">
      <c r="A50" s="375" t="s">
        <v>81</v>
      </c>
      <c r="B50" s="436" t="s">
        <v>485</v>
      </c>
      <c r="C50" s="355" t="s">
        <v>71</v>
      </c>
      <c r="D50" s="430">
        <v>1</v>
      </c>
      <c r="E50" s="430">
        <f t="shared" si="14"/>
        <v>14000</v>
      </c>
      <c r="F50" s="430">
        <f t="shared" si="12"/>
        <v>14000</v>
      </c>
      <c r="G50" s="430">
        <f t="shared" si="13"/>
        <v>14000</v>
      </c>
      <c r="H50" s="426"/>
      <c r="I50" s="426"/>
      <c r="J50" s="426"/>
      <c r="K50" s="437">
        <v>12600</v>
      </c>
      <c r="L50" s="437">
        <v>1400</v>
      </c>
      <c r="M50" s="426"/>
      <c r="N50" s="426"/>
      <c r="O50" s="426"/>
      <c r="P50" s="426"/>
      <c r="Q50" s="426"/>
      <c r="R50" s="426"/>
      <c r="S50" s="426"/>
      <c r="T50" s="426"/>
      <c r="U50" s="426"/>
      <c r="V50" s="432"/>
      <c r="W50" s="432"/>
      <c r="X50" s="433"/>
      <c r="Y50" s="433"/>
      <c r="Z50" s="434"/>
      <c r="AA50" s="434"/>
      <c r="AB50" s="432"/>
      <c r="AC50" s="432"/>
      <c r="AD50" s="432"/>
    </row>
    <row r="51" spans="1:30" s="388" customFormat="1">
      <c r="A51" s="375" t="s">
        <v>81</v>
      </c>
      <c r="B51" s="436" t="s">
        <v>486</v>
      </c>
      <c r="C51" s="355" t="s">
        <v>71</v>
      </c>
      <c r="D51" s="430">
        <v>1</v>
      </c>
      <c r="E51" s="430">
        <f t="shared" si="14"/>
        <v>1200</v>
      </c>
      <c r="F51" s="430">
        <f t="shared" si="12"/>
        <v>1200</v>
      </c>
      <c r="G51" s="430">
        <f t="shared" si="13"/>
        <v>1200</v>
      </c>
      <c r="H51" s="426"/>
      <c r="I51" s="426"/>
      <c r="J51" s="426"/>
      <c r="K51" s="437"/>
      <c r="L51" s="437">
        <v>1200</v>
      </c>
      <c r="M51" s="426"/>
      <c r="N51" s="426"/>
      <c r="O51" s="426"/>
      <c r="P51" s="426"/>
      <c r="Q51" s="426"/>
      <c r="R51" s="426"/>
      <c r="S51" s="426"/>
      <c r="T51" s="426"/>
      <c r="U51" s="426"/>
      <c r="V51" s="432"/>
      <c r="W51" s="432"/>
      <c r="X51" s="433"/>
      <c r="Y51" s="433"/>
      <c r="Z51" s="434"/>
      <c r="AA51" s="434"/>
      <c r="AB51" s="432"/>
      <c r="AC51" s="432"/>
      <c r="AD51" s="432"/>
    </row>
    <row r="52" spans="1:30" s="388" customFormat="1">
      <c r="A52" s="375" t="s">
        <v>81</v>
      </c>
      <c r="B52" s="436" t="s">
        <v>487</v>
      </c>
      <c r="C52" s="355" t="s">
        <v>71</v>
      </c>
      <c r="D52" s="430">
        <v>1</v>
      </c>
      <c r="E52" s="430">
        <f t="shared" si="14"/>
        <v>800</v>
      </c>
      <c r="F52" s="430">
        <f t="shared" si="12"/>
        <v>800</v>
      </c>
      <c r="G52" s="430">
        <f t="shared" si="13"/>
        <v>800</v>
      </c>
      <c r="H52" s="426"/>
      <c r="I52" s="426"/>
      <c r="J52" s="426"/>
      <c r="K52" s="437"/>
      <c r="L52" s="437">
        <v>800</v>
      </c>
      <c r="M52" s="426"/>
      <c r="N52" s="426"/>
      <c r="O52" s="426"/>
      <c r="P52" s="426"/>
      <c r="Q52" s="426"/>
      <c r="R52" s="426"/>
      <c r="S52" s="426"/>
      <c r="T52" s="426"/>
      <c r="U52" s="426"/>
      <c r="V52" s="432"/>
      <c r="W52" s="432"/>
      <c r="X52" s="433"/>
      <c r="Y52" s="433"/>
      <c r="Z52" s="434"/>
      <c r="AA52" s="434"/>
      <c r="AB52" s="432"/>
      <c r="AC52" s="432"/>
      <c r="AD52" s="432"/>
    </row>
    <row r="53" spans="1:30" s="388" customFormat="1" ht="25.5">
      <c r="A53" s="375" t="s">
        <v>81</v>
      </c>
      <c r="B53" s="436" t="s">
        <v>488</v>
      </c>
      <c r="C53" s="355" t="s">
        <v>71</v>
      </c>
      <c r="D53" s="430">
        <v>1</v>
      </c>
      <c r="E53" s="430">
        <f t="shared" si="14"/>
        <v>1000</v>
      </c>
      <c r="F53" s="430">
        <f t="shared" si="12"/>
        <v>1000</v>
      </c>
      <c r="G53" s="430">
        <f t="shared" si="13"/>
        <v>1000</v>
      </c>
      <c r="H53" s="426"/>
      <c r="I53" s="426"/>
      <c r="J53" s="426"/>
      <c r="K53" s="437"/>
      <c r="L53" s="437">
        <v>1000</v>
      </c>
      <c r="M53" s="426"/>
      <c r="N53" s="426"/>
      <c r="O53" s="426"/>
      <c r="P53" s="426"/>
      <c r="Q53" s="426"/>
      <c r="R53" s="426"/>
      <c r="S53" s="426"/>
      <c r="T53" s="426"/>
      <c r="U53" s="426"/>
      <c r="V53" s="432"/>
      <c r="W53" s="432"/>
      <c r="X53" s="433"/>
      <c r="Y53" s="433"/>
      <c r="Z53" s="434"/>
      <c r="AA53" s="434"/>
      <c r="AB53" s="432"/>
      <c r="AC53" s="432"/>
      <c r="AD53" s="432"/>
    </row>
    <row r="54" spans="1:30" s="388" customFormat="1">
      <c r="A54" s="438" t="s">
        <v>190</v>
      </c>
      <c r="B54" s="428" t="s">
        <v>469</v>
      </c>
      <c r="C54" s="438"/>
      <c r="D54" s="439"/>
      <c r="E54" s="425">
        <f t="shared" si="14"/>
        <v>10200</v>
      </c>
      <c r="F54" s="425">
        <f t="shared" si="12"/>
        <v>10200</v>
      </c>
      <c r="G54" s="425">
        <f t="shared" si="13"/>
        <v>10200</v>
      </c>
      <c r="H54" s="425">
        <f t="shared" ref="H54:U54" si="18">H55+H56+H57</f>
        <v>0</v>
      </c>
      <c r="I54" s="425">
        <f t="shared" si="18"/>
        <v>0</v>
      </c>
      <c r="J54" s="425">
        <f t="shared" si="18"/>
        <v>0</v>
      </c>
      <c r="K54" s="440">
        <f t="shared" si="18"/>
        <v>0</v>
      </c>
      <c r="L54" s="440">
        <f t="shared" si="18"/>
        <v>10200</v>
      </c>
      <c r="M54" s="425">
        <f t="shared" si="18"/>
        <v>0</v>
      </c>
      <c r="N54" s="425">
        <f t="shared" si="18"/>
        <v>0</v>
      </c>
      <c r="O54" s="425">
        <f t="shared" si="18"/>
        <v>0</v>
      </c>
      <c r="P54" s="425">
        <f t="shared" si="18"/>
        <v>0</v>
      </c>
      <c r="Q54" s="425">
        <f t="shared" si="18"/>
        <v>0</v>
      </c>
      <c r="R54" s="425">
        <f t="shared" si="18"/>
        <v>0</v>
      </c>
      <c r="S54" s="425">
        <f t="shared" si="18"/>
        <v>0</v>
      </c>
      <c r="T54" s="425">
        <f t="shared" si="18"/>
        <v>0</v>
      </c>
      <c r="U54" s="425">
        <f t="shared" si="18"/>
        <v>0</v>
      </c>
      <c r="V54" s="432"/>
      <c r="W54" s="432"/>
      <c r="X54" s="433"/>
      <c r="Y54" s="433"/>
      <c r="Z54" s="434"/>
      <c r="AA54" s="434"/>
      <c r="AB54" s="432"/>
      <c r="AC54" s="432"/>
      <c r="AD54" s="432"/>
    </row>
    <row r="55" spans="1:30" s="388" customFormat="1" ht="51">
      <c r="A55" s="375" t="s">
        <v>81</v>
      </c>
      <c r="B55" s="441" t="s">
        <v>489</v>
      </c>
      <c r="C55" s="355" t="s">
        <v>71</v>
      </c>
      <c r="D55" s="430">
        <v>1</v>
      </c>
      <c r="E55" s="430">
        <f t="shared" si="14"/>
        <v>7000</v>
      </c>
      <c r="F55" s="430">
        <f t="shared" si="12"/>
        <v>7000</v>
      </c>
      <c r="G55" s="430">
        <f t="shared" si="13"/>
        <v>7000</v>
      </c>
      <c r="H55" s="426"/>
      <c r="I55" s="426"/>
      <c r="J55" s="426"/>
      <c r="K55" s="437"/>
      <c r="L55" s="437">
        <v>7000</v>
      </c>
      <c r="M55" s="426"/>
      <c r="N55" s="426"/>
      <c r="O55" s="426"/>
      <c r="P55" s="426"/>
      <c r="Q55" s="426"/>
      <c r="R55" s="426"/>
      <c r="S55" s="426"/>
      <c r="T55" s="426"/>
      <c r="U55" s="426"/>
      <c r="V55" s="432"/>
      <c r="W55" s="432"/>
      <c r="X55" s="433"/>
      <c r="Y55" s="433"/>
      <c r="Z55" s="434"/>
      <c r="AA55" s="434"/>
      <c r="AB55" s="432"/>
      <c r="AC55" s="432"/>
      <c r="AD55" s="432"/>
    </row>
    <row r="56" spans="1:30" s="388" customFormat="1" ht="63.75">
      <c r="A56" s="375" t="s">
        <v>81</v>
      </c>
      <c r="B56" s="441" t="s">
        <v>490</v>
      </c>
      <c r="C56" s="355" t="s">
        <v>71</v>
      </c>
      <c r="D56" s="430">
        <v>2</v>
      </c>
      <c r="E56" s="430">
        <f t="shared" si="14"/>
        <v>2000</v>
      </c>
      <c r="F56" s="430">
        <f t="shared" si="12"/>
        <v>2000</v>
      </c>
      <c r="G56" s="430">
        <f t="shared" si="13"/>
        <v>2000</v>
      </c>
      <c r="H56" s="426"/>
      <c r="I56" s="426"/>
      <c r="J56" s="426"/>
      <c r="K56" s="426"/>
      <c r="L56" s="426">
        <v>2000</v>
      </c>
      <c r="M56" s="426"/>
      <c r="N56" s="426"/>
      <c r="O56" s="426"/>
      <c r="P56" s="426"/>
      <c r="Q56" s="426"/>
      <c r="R56" s="426"/>
      <c r="S56" s="426"/>
      <c r="T56" s="426"/>
      <c r="U56" s="426"/>
      <c r="V56" s="432"/>
      <c r="W56" s="432"/>
      <c r="X56" s="433"/>
      <c r="Y56" s="433"/>
      <c r="Z56" s="434"/>
      <c r="AA56" s="434"/>
      <c r="AB56" s="432"/>
      <c r="AC56" s="432"/>
      <c r="AD56" s="432"/>
    </row>
    <row r="57" spans="1:30" s="388" customFormat="1">
      <c r="A57" s="375" t="s">
        <v>81</v>
      </c>
      <c r="B57" s="441" t="s">
        <v>486</v>
      </c>
      <c r="C57" s="355" t="s">
        <v>71</v>
      </c>
      <c r="D57" s="430">
        <v>1</v>
      </c>
      <c r="E57" s="430">
        <f t="shared" si="14"/>
        <v>1200</v>
      </c>
      <c r="F57" s="430">
        <f t="shared" si="12"/>
        <v>1200</v>
      </c>
      <c r="G57" s="430">
        <f t="shared" si="13"/>
        <v>1200</v>
      </c>
      <c r="H57" s="426"/>
      <c r="I57" s="426"/>
      <c r="J57" s="426"/>
      <c r="K57" s="426"/>
      <c r="L57" s="426">
        <v>1200</v>
      </c>
      <c r="M57" s="426"/>
      <c r="N57" s="426"/>
      <c r="O57" s="426"/>
      <c r="P57" s="426"/>
      <c r="Q57" s="426"/>
      <c r="R57" s="426"/>
      <c r="S57" s="426"/>
      <c r="T57" s="426"/>
      <c r="U57" s="426"/>
      <c r="V57" s="432"/>
      <c r="W57" s="432"/>
      <c r="X57" s="433"/>
      <c r="Y57" s="433"/>
      <c r="Z57" s="434"/>
      <c r="AA57" s="434"/>
      <c r="AB57" s="432"/>
      <c r="AC57" s="432"/>
      <c r="AD57" s="432"/>
    </row>
    <row r="58" spans="1:30">
      <c r="A58" s="407">
        <v>4</v>
      </c>
      <c r="B58" s="406" t="s">
        <v>36</v>
      </c>
      <c r="C58" s="407"/>
      <c r="D58" s="404"/>
      <c r="E58" s="404">
        <f>F58+N58+O58+T58+U58</f>
        <v>5980</v>
      </c>
      <c r="F58" s="404">
        <f t="shared" si="12"/>
        <v>3730</v>
      </c>
      <c r="G58" s="404">
        <f t="shared" si="13"/>
        <v>3050</v>
      </c>
      <c r="H58" s="404">
        <f>H59+H60+H61+H62+H63+H64+H65</f>
        <v>0</v>
      </c>
      <c r="I58" s="402">
        <f t="shared" ref="I58:U58" si="19">I59+I60+I61+I62+I63+I64+I65</f>
        <v>2250</v>
      </c>
      <c r="J58" s="404">
        <f t="shared" si="19"/>
        <v>0</v>
      </c>
      <c r="K58" s="404">
        <f t="shared" si="19"/>
        <v>800</v>
      </c>
      <c r="L58" s="404">
        <f t="shared" si="19"/>
        <v>0</v>
      </c>
      <c r="M58" s="404">
        <f t="shared" si="19"/>
        <v>680</v>
      </c>
      <c r="N58" s="404">
        <f t="shared" si="19"/>
        <v>0</v>
      </c>
      <c r="O58" s="404">
        <f t="shared" si="19"/>
        <v>0</v>
      </c>
      <c r="P58" s="404">
        <f t="shared" si="19"/>
        <v>0</v>
      </c>
      <c r="Q58" s="404">
        <f t="shared" si="19"/>
        <v>0</v>
      </c>
      <c r="R58" s="404">
        <f t="shared" si="19"/>
        <v>0</v>
      </c>
      <c r="S58" s="404">
        <f t="shared" si="19"/>
        <v>0</v>
      </c>
      <c r="T58" s="404">
        <f t="shared" si="19"/>
        <v>0</v>
      </c>
      <c r="U58" s="404">
        <f t="shared" si="19"/>
        <v>2250</v>
      </c>
    </row>
    <row r="59" spans="1:30" s="388" customFormat="1" ht="38.25">
      <c r="A59" s="583" t="s">
        <v>199</v>
      </c>
      <c r="B59" s="596" t="s">
        <v>701</v>
      </c>
      <c r="C59" s="574" t="s">
        <v>76</v>
      </c>
      <c r="D59" s="1386">
        <v>6</v>
      </c>
      <c r="E59" s="597">
        <f t="shared" si="14"/>
        <v>3600</v>
      </c>
      <c r="F59" s="597">
        <f t="shared" si="12"/>
        <v>1800</v>
      </c>
      <c r="G59" s="597">
        <f t="shared" si="13"/>
        <v>1800</v>
      </c>
      <c r="H59" s="598"/>
      <c r="I59" s="599">
        <f>6*300</f>
        <v>1800</v>
      </c>
      <c r="J59" s="598"/>
      <c r="K59" s="598"/>
      <c r="L59" s="598"/>
      <c r="M59" s="598"/>
      <c r="N59" s="600"/>
      <c r="O59" s="600"/>
      <c r="P59" s="600"/>
      <c r="Q59" s="600"/>
      <c r="R59" s="600"/>
      <c r="S59" s="600"/>
      <c r="T59" s="600"/>
      <c r="U59" s="598">
        <v>1800</v>
      </c>
      <c r="V59" s="601"/>
      <c r="W59" s="601"/>
      <c r="X59" s="602"/>
      <c r="Y59" s="602"/>
      <c r="Z59" s="603"/>
      <c r="AA59" s="603"/>
      <c r="AB59" s="601"/>
      <c r="AC59" s="601"/>
      <c r="AD59" s="601"/>
    </row>
    <row r="60" spans="1:30" s="388" customFormat="1" ht="25.5">
      <c r="A60" s="583" t="s">
        <v>491</v>
      </c>
      <c r="B60" s="596" t="s">
        <v>702</v>
      </c>
      <c r="C60" s="574" t="s">
        <v>76</v>
      </c>
      <c r="D60" s="1386">
        <v>3</v>
      </c>
      <c r="E60" s="597">
        <f>F60+N60+O60+T60+U60</f>
        <v>900</v>
      </c>
      <c r="F60" s="597">
        <f>G60+M60</f>
        <v>450</v>
      </c>
      <c r="G60" s="597">
        <f t="shared" si="13"/>
        <v>450</v>
      </c>
      <c r="H60" s="598"/>
      <c r="I60" s="599">
        <f>3*150</f>
        <v>450</v>
      </c>
      <c r="J60" s="598"/>
      <c r="K60" s="598"/>
      <c r="L60" s="598"/>
      <c r="M60" s="598"/>
      <c r="N60" s="598"/>
      <c r="O60" s="598"/>
      <c r="P60" s="598"/>
      <c r="Q60" s="598"/>
      <c r="R60" s="598"/>
      <c r="S60" s="598"/>
      <c r="T60" s="598"/>
      <c r="U60" s="598">
        <v>450</v>
      </c>
      <c r="V60" s="601"/>
      <c r="W60" s="601"/>
      <c r="X60" s="602"/>
      <c r="Y60" s="602"/>
      <c r="Z60" s="603"/>
      <c r="AA60" s="603"/>
      <c r="AB60" s="601"/>
      <c r="AC60" s="601"/>
      <c r="AD60" s="601"/>
    </row>
    <row r="61" spans="1:30" s="388" customFormat="1">
      <c r="A61" s="583" t="s">
        <v>492</v>
      </c>
      <c r="B61" s="596" t="s">
        <v>493</v>
      </c>
      <c r="C61" s="574" t="s">
        <v>71</v>
      </c>
      <c r="D61" s="597">
        <v>1</v>
      </c>
      <c r="E61" s="597">
        <f t="shared" si="14"/>
        <v>200</v>
      </c>
      <c r="F61" s="597">
        <f t="shared" si="12"/>
        <v>200</v>
      </c>
      <c r="G61" s="597">
        <f t="shared" si="13"/>
        <v>0</v>
      </c>
      <c r="H61" s="598"/>
      <c r="I61" s="598"/>
      <c r="J61" s="598"/>
      <c r="K61" s="598"/>
      <c r="L61" s="598"/>
      <c r="M61" s="598">
        <v>200</v>
      </c>
      <c r="N61" s="598"/>
      <c r="O61" s="598">
        <f>P61+Q61+R61+S61</f>
        <v>0</v>
      </c>
      <c r="P61" s="598"/>
      <c r="Q61" s="598"/>
      <c r="R61" s="598"/>
      <c r="S61" s="598"/>
      <c r="T61" s="598"/>
      <c r="U61" s="598"/>
      <c r="V61" s="601"/>
      <c r="W61" s="601"/>
      <c r="X61" s="602"/>
      <c r="Y61" s="602"/>
      <c r="Z61" s="603"/>
      <c r="AA61" s="603"/>
      <c r="AB61" s="601"/>
      <c r="AC61" s="601"/>
      <c r="AD61" s="601"/>
    </row>
    <row r="62" spans="1:30" s="388" customFormat="1" ht="38.25">
      <c r="A62" s="583" t="s">
        <v>494</v>
      </c>
      <c r="B62" s="596" t="s">
        <v>495</v>
      </c>
      <c r="C62" s="574" t="s">
        <v>71</v>
      </c>
      <c r="D62" s="597">
        <v>1</v>
      </c>
      <c r="E62" s="597">
        <f t="shared" si="14"/>
        <v>360</v>
      </c>
      <c r="F62" s="597">
        <f t="shared" si="12"/>
        <v>360</v>
      </c>
      <c r="G62" s="597">
        <f t="shared" si="13"/>
        <v>0</v>
      </c>
      <c r="H62" s="598"/>
      <c r="I62" s="598"/>
      <c r="J62" s="598"/>
      <c r="K62" s="598"/>
      <c r="L62" s="598"/>
      <c r="M62" s="598">
        <v>360</v>
      </c>
      <c r="N62" s="598"/>
      <c r="O62" s="598"/>
      <c r="P62" s="598"/>
      <c r="Q62" s="598"/>
      <c r="R62" s="598"/>
      <c r="S62" s="598"/>
      <c r="T62" s="598"/>
      <c r="U62" s="598">
        <v>0</v>
      </c>
      <c r="V62" s="601"/>
      <c r="W62" s="601"/>
      <c r="X62" s="602"/>
      <c r="Y62" s="602"/>
      <c r="Z62" s="603"/>
      <c r="AA62" s="603"/>
      <c r="AB62" s="601"/>
      <c r="AC62" s="601"/>
      <c r="AD62" s="601"/>
    </row>
    <row r="63" spans="1:30" s="582" customFormat="1">
      <c r="A63" s="583" t="s">
        <v>496</v>
      </c>
      <c r="B63" s="596" t="s">
        <v>497</v>
      </c>
      <c r="C63" s="574" t="s">
        <v>428</v>
      </c>
      <c r="D63" s="597"/>
      <c r="E63" s="597">
        <f t="shared" si="14"/>
        <v>120</v>
      </c>
      <c r="F63" s="597">
        <f t="shared" si="12"/>
        <v>120</v>
      </c>
      <c r="G63" s="597">
        <f t="shared" si="13"/>
        <v>0</v>
      </c>
      <c r="H63" s="598"/>
      <c r="I63" s="598"/>
      <c r="J63" s="598"/>
      <c r="K63" s="598"/>
      <c r="L63" s="598"/>
      <c r="M63" s="598">
        <v>120</v>
      </c>
      <c r="N63" s="600"/>
      <c r="O63" s="600"/>
      <c r="P63" s="600"/>
      <c r="Q63" s="600"/>
      <c r="R63" s="600"/>
      <c r="S63" s="600"/>
      <c r="T63" s="600"/>
      <c r="U63" s="600"/>
      <c r="V63" s="601"/>
      <c r="W63" s="601"/>
      <c r="X63" s="602"/>
      <c r="Y63" s="602"/>
      <c r="Z63" s="603"/>
      <c r="AA63" s="603"/>
      <c r="AB63" s="601"/>
      <c r="AC63" s="601"/>
      <c r="AD63" s="601"/>
    </row>
    <row r="64" spans="1:30">
      <c r="A64" s="270" t="s">
        <v>498</v>
      </c>
      <c r="B64" s="412" t="s">
        <v>499</v>
      </c>
      <c r="C64" s="2" t="s">
        <v>428</v>
      </c>
      <c r="D64" s="409">
        <v>15</v>
      </c>
      <c r="E64" s="409">
        <f t="shared" si="14"/>
        <v>750</v>
      </c>
      <c r="F64" s="409">
        <f t="shared" si="12"/>
        <v>750</v>
      </c>
      <c r="G64" s="409">
        <f t="shared" si="13"/>
        <v>750</v>
      </c>
      <c r="H64" s="413"/>
      <c r="I64" s="413"/>
      <c r="J64" s="413"/>
      <c r="K64" s="413">
        <v>750</v>
      </c>
      <c r="L64" s="413"/>
      <c r="M64" s="413"/>
      <c r="N64" s="413"/>
      <c r="O64" s="413"/>
      <c r="P64" s="413"/>
      <c r="Q64" s="413"/>
      <c r="R64" s="413"/>
      <c r="S64" s="413"/>
      <c r="T64" s="413"/>
      <c r="U64" s="413"/>
    </row>
    <row r="65" spans="1:30" ht="25.5">
      <c r="A65" s="270" t="s">
        <v>500</v>
      </c>
      <c r="B65" s="412" t="s">
        <v>501</v>
      </c>
      <c r="C65" s="2" t="s">
        <v>428</v>
      </c>
      <c r="D65" s="409">
        <v>1</v>
      </c>
      <c r="E65" s="409">
        <f t="shared" si="14"/>
        <v>50</v>
      </c>
      <c r="F65" s="409">
        <f t="shared" si="12"/>
        <v>50</v>
      </c>
      <c r="G65" s="409">
        <f t="shared" si="13"/>
        <v>50</v>
      </c>
      <c r="H65" s="422"/>
      <c r="I65" s="422"/>
      <c r="J65" s="422"/>
      <c r="K65" s="423">
        <v>50</v>
      </c>
      <c r="L65" s="422"/>
      <c r="M65" s="422"/>
      <c r="N65" s="424"/>
      <c r="O65" s="424"/>
      <c r="P65" s="424"/>
      <c r="Q65" s="424"/>
      <c r="R65" s="424"/>
      <c r="S65" s="424"/>
      <c r="T65" s="424"/>
      <c r="U65" s="424"/>
    </row>
    <row r="66" spans="1:30" s="388" customFormat="1">
      <c r="A66" s="438">
        <v>5</v>
      </c>
      <c r="B66" s="428" t="s">
        <v>39</v>
      </c>
      <c r="C66" s="438"/>
      <c r="D66" s="425">
        <f>D67+D68</f>
        <v>53</v>
      </c>
      <c r="E66" s="425">
        <f t="shared" si="14"/>
        <v>2430</v>
      </c>
      <c r="F66" s="425">
        <f t="shared" si="12"/>
        <v>0</v>
      </c>
      <c r="G66" s="425">
        <f t="shared" si="13"/>
        <v>0</v>
      </c>
      <c r="H66" s="425">
        <f t="shared" ref="H66:U66" si="20">H67+H68</f>
        <v>0</v>
      </c>
      <c r="I66" s="425">
        <f>I67+I68</f>
        <v>0</v>
      </c>
      <c r="J66" s="425">
        <f>J67+J68</f>
        <v>0</v>
      </c>
      <c r="K66" s="425">
        <f t="shared" si="20"/>
        <v>0</v>
      </c>
      <c r="L66" s="425">
        <f t="shared" si="20"/>
        <v>0</v>
      </c>
      <c r="M66" s="425">
        <f t="shared" si="20"/>
        <v>0</v>
      </c>
      <c r="N66" s="425">
        <f t="shared" si="20"/>
        <v>2430</v>
      </c>
      <c r="O66" s="425">
        <f t="shared" si="20"/>
        <v>0</v>
      </c>
      <c r="P66" s="425">
        <f t="shared" si="20"/>
        <v>0</v>
      </c>
      <c r="Q66" s="425">
        <f t="shared" si="20"/>
        <v>0</v>
      </c>
      <c r="R66" s="425">
        <f t="shared" si="20"/>
        <v>0</v>
      </c>
      <c r="S66" s="425">
        <f t="shared" si="20"/>
        <v>0</v>
      </c>
      <c r="T66" s="425">
        <f t="shared" si="20"/>
        <v>0</v>
      </c>
      <c r="U66" s="425">
        <f t="shared" si="20"/>
        <v>0</v>
      </c>
      <c r="V66" s="432"/>
      <c r="W66" s="432"/>
      <c r="X66" s="433"/>
      <c r="Y66" s="433"/>
      <c r="Z66" s="434"/>
      <c r="AA66" s="434"/>
      <c r="AB66" s="432"/>
      <c r="AC66" s="432"/>
      <c r="AD66" s="432"/>
    </row>
    <row r="67" spans="1:30" s="388" customFormat="1">
      <c r="A67" s="442" t="s">
        <v>191</v>
      </c>
      <c r="B67" s="441" t="s">
        <v>502</v>
      </c>
      <c r="C67" s="355" t="s">
        <v>76</v>
      </c>
      <c r="D67" s="430">
        <v>42</v>
      </c>
      <c r="E67" s="430">
        <f t="shared" si="14"/>
        <v>2100</v>
      </c>
      <c r="F67" s="430">
        <f t="shared" si="12"/>
        <v>0</v>
      </c>
      <c r="G67" s="430">
        <f t="shared" si="13"/>
        <v>0</v>
      </c>
      <c r="H67" s="426"/>
      <c r="I67" s="426"/>
      <c r="J67" s="426"/>
      <c r="K67" s="426"/>
      <c r="L67" s="426"/>
      <c r="M67" s="426"/>
      <c r="N67" s="426">
        <f>D67*50</f>
        <v>2100</v>
      </c>
      <c r="O67" s="426"/>
      <c r="P67" s="426"/>
      <c r="Q67" s="426"/>
      <c r="R67" s="426"/>
      <c r="S67" s="426"/>
      <c r="T67" s="426"/>
      <c r="U67" s="426"/>
      <c r="V67" s="432"/>
      <c r="W67" s="432"/>
      <c r="X67" s="433"/>
      <c r="Y67" s="433"/>
      <c r="Z67" s="434"/>
      <c r="AA67" s="434"/>
      <c r="AB67" s="432"/>
      <c r="AC67" s="432"/>
      <c r="AD67" s="432"/>
    </row>
    <row r="68" spans="1:30" s="388" customFormat="1">
      <c r="A68" s="442" t="s">
        <v>192</v>
      </c>
      <c r="B68" s="441" t="s">
        <v>503</v>
      </c>
      <c r="C68" s="355" t="s">
        <v>76</v>
      </c>
      <c r="D68" s="430">
        <v>11</v>
      </c>
      <c r="E68" s="430">
        <f t="shared" si="14"/>
        <v>330</v>
      </c>
      <c r="F68" s="430">
        <f t="shared" si="12"/>
        <v>0</v>
      </c>
      <c r="G68" s="430">
        <f t="shared" si="13"/>
        <v>0</v>
      </c>
      <c r="H68" s="426"/>
      <c r="I68" s="426"/>
      <c r="J68" s="426"/>
      <c r="K68" s="426"/>
      <c r="L68" s="426"/>
      <c r="M68" s="426"/>
      <c r="N68" s="426">
        <f>D68*30</f>
        <v>330</v>
      </c>
      <c r="O68" s="426"/>
      <c r="P68" s="426"/>
      <c r="Q68" s="426"/>
      <c r="R68" s="426"/>
      <c r="S68" s="426"/>
      <c r="T68" s="426"/>
      <c r="U68" s="426"/>
      <c r="V68" s="432"/>
      <c r="W68" s="432"/>
      <c r="X68" s="433"/>
      <c r="Y68" s="433"/>
      <c r="Z68" s="434"/>
      <c r="AA68" s="434"/>
      <c r="AB68" s="432"/>
      <c r="AC68" s="432"/>
      <c r="AD68" s="432"/>
    </row>
    <row r="69" spans="1:30" s="388" customFormat="1">
      <c r="A69" s="438">
        <v>6</v>
      </c>
      <c r="B69" s="443" t="s">
        <v>85</v>
      </c>
      <c r="C69" s="438"/>
      <c r="D69" s="425"/>
      <c r="E69" s="425">
        <f>F69+N69+O69+T69+U69</f>
        <v>760</v>
      </c>
      <c r="F69" s="425">
        <f t="shared" si="12"/>
        <v>760</v>
      </c>
      <c r="G69" s="425">
        <f t="shared" si="13"/>
        <v>760</v>
      </c>
      <c r="H69" s="440">
        <f>SUM(H70:H72)</f>
        <v>360</v>
      </c>
      <c r="I69" s="425">
        <f>SUM(I70:I72)</f>
        <v>0</v>
      </c>
      <c r="J69" s="425">
        <f>SUM(J70:J72)</f>
        <v>0</v>
      </c>
      <c r="K69" s="425">
        <f>SUM(K70:K72)</f>
        <v>0</v>
      </c>
      <c r="L69" s="425">
        <f>SUM(L70:L72)</f>
        <v>400</v>
      </c>
      <c r="M69" s="425">
        <f t="shared" ref="M69:U69" si="21">SUM(M70:M72)</f>
        <v>0</v>
      </c>
      <c r="N69" s="425">
        <f t="shared" si="21"/>
        <v>0</v>
      </c>
      <c r="O69" s="425">
        <f t="shared" si="21"/>
        <v>0</v>
      </c>
      <c r="P69" s="425">
        <f t="shared" si="21"/>
        <v>0</v>
      </c>
      <c r="Q69" s="425">
        <f t="shared" si="21"/>
        <v>0</v>
      </c>
      <c r="R69" s="425">
        <f t="shared" si="21"/>
        <v>0</v>
      </c>
      <c r="S69" s="425">
        <f t="shared" si="21"/>
        <v>0</v>
      </c>
      <c r="T69" s="425">
        <f t="shared" si="21"/>
        <v>0</v>
      </c>
      <c r="U69" s="425">
        <f t="shared" si="21"/>
        <v>0</v>
      </c>
      <c r="V69" s="432"/>
      <c r="W69" s="432"/>
      <c r="X69" s="433"/>
      <c r="Y69" s="433"/>
      <c r="Z69" s="434"/>
      <c r="AA69" s="434"/>
      <c r="AB69" s="432"/>
      <c r="AC69" s="432"/>
      <c r="AD69" s="432"/>
    </row>
    <row r="70" spans="1:30" s="388" customFormat="1">
      <c r="A70" s="442" t="s">
        <v>193</v>
      </c>
      <c r="B70" s="444" t="s">
        <v>118</v>
      </c>
      <c r="C70" s="355" t="s">
        <v>71</v>
      </c>
      <c r="D70" s="430">
        <v>1</v>
      </c>
      <c r="E70" s="430">
        <f t="shared" si="14"/>
        <v>200</v>
      </c>
      <c r="F70" s="430">
        <f t="shared" si="12"/>
        <v>200</v>
      </c>
      <c r="G70" s="430">
        <f t="shared" si="13"/>
        <v>200</v>
      </c>
      <c r="H70" s="426"/>
      <c r="I70" s="426"/>
      <c r="J70" s="426"/>
      <c r="K70" s="426"/>
      <c r="L70" s="426">
        <v>200</v>
      </c>
      <c r="M70" s="426"/>
      <c r="N70" s="426"/>
      <c r="O70" s="426"/>
      <c r="P70" s="426"/>
      <c r="Q70" s="426"/>
      <c r="R70" s="426"/>
      <c r="S70" s="426"/>
      <c r="T70" s="426"/>
      <c r="U70" s="426"/>
      <c r="V70" s="432"/>
      <c r="W70" s="432"/>
      <c r="X70" s="433"/>
      <c r="Y70" s="433"/>
      <c r="Z70" s="434"/>
      <c r="AA70" s="434"/>
      <c r="AB70" s="432"/>
      <c r="AC70" s="432"/>
      <c r="AD70" s="432"/>
    </row>
    <row r="71" spans="1:30" s="388" customFormat="1">
      <c r="A71" s="442" t="s">
        <v>504</v>
      </c>
      <c r="B71" s="444" t="s">
        <v>505</v>
      </c>
      <c r="C71" s="355" t="s">
        <v>71</v>
      </c>
      <c r="D71" s="430">
        <v>72</v>
      </c>
      <c r="E71" s="430">
        <f t="shared" si="14"/>
        <v>360</v>
      </c>
      <c r="F71" s="430">
        <f t="shared" si="12"/>
        <v>360</v>
      </c>
      <c r="G71" s="430">
        <f t="shared" si="13"/>
        <v>360</v>
      </c>
      <c r="H71" s="437">
        <f>D71*5</f>
        <v>360</v>
      </c>
      <c r="I71" s="426"/>
      <c r="J71" s="426"/>
      <c r="K71" s="426"/>
      <c r="L71" s="426"/>
      <c r="M71" s="426"/>
      <c r="N71" s="426"/>
      <c r="O71" s="426"/>
      <c r="P71" s="426"/>
      <c r="Q71" s="426"/>
      <c r="R71" s="426"/>
      <c r="S71" s="426"/>
      <c r="T71" s="426"/>
      <c r="U71" s="426"/>
      <c r="V71" s="432"/>
      <c r="W71" s="432"/>
      <c r="X71" s="433"/>
      <c r="Y71" s="433"/>
      <c r="Z71" s="434"/>
      <c r="AA71" s="434"/>
      <c r="AB71" s="432"/>
      <c r="AC71" s="432"/>
      <c r="AD71" s="432"/>
    </row>
    <row r="72" spans="1:30" s="388" customFormat="1">
      <c r="A72" s="442" t="s">
        <v>506</v>
      </c>
      <c r="B72" s="356" t="s">
        <v>507</v>
      </c>
      <c r="C72" s="355" t="s">
        <v>71</v>
      </c>
      <c r="D72" s="430">
        <v>1</v>
      </c>
      <c r="E72" s="430">
        <f t="shared" si="14"/>
        <v>200</v>
      </c>
      <c r="F72" s="430">
        <f t="shared" si="12"/>
        <v>200</v>
      </c>
      <c r="G72" s="430">
        <f t="shared" si="13"/>
        <v>200</v>
      </c>
      <c r="H72" s="426"/>
      <c r="I72" s="426"/>
      <c r="J72" s="426"/>
      <c r="K72" s="426"/>
      <c r="L72" s="426">
        <v>200</v>
      </c>
      <c r="M72" s="426"/>
      <c r="N72" s="426"/>
      <c r="O72" s="426"/>
      <c r="P72" s="426"/>
      <c r="Q72" s="426"/>
      <c r="R72" s="426"/>
      <c r="S72" s="426"/>
      <c r="T72" s="426"/>
      <c r="U72" s="426"/>
      <c r="V72" s="432"/>
      <c r="W72" s="432"/>
      <c r="X72" s="433"/>
      <c r="Y72" s="433"/>
      <c r="Z72" s="434"/>
      <c r="AA72" s="434"/>
      <c r="AB72" s="432"/>
      <c r="AC72" s="432"/>
      <c r="AD72" s="432"/>
    </row>
    <row r="73" spans="1:30" s="470" customFormat="1" ht="15.75">
      <c r="A73" s="467"/>
      <c r="B73" s="342" t="s">
        <v>552</v>
      </c>
      <c r="C73" s="73"/>
      <c r="D73" s="468"/>
      <c r="E73" s="73"/>
      <c r="F73" s="73"/>
      <c r="G73" s="342"/>
      <c r="H73" s="342"/>
      <c r="I73" s="342"/>
      <c r="J73" s="342"/>
      <c r="K73" s="342"/>
      <c r="L73" s="342"/>
      <c r="M73" s="342"/>
      <c r="N73" s="342"/>
      <c r="O73" s="342"/>
      <c r="P73" s="342"/>
      <c r="Q73" s="342"/>
      <c r="R73" s="342"/>
      <c r="S73" s="342"/>
      <c r="T73" s="342"/>
      <c r="U73" s="342"/>
      <c r="V73" s="342"/>
      <c r="W73" s="342"/>
      <c r="X73" s="342"/>
      <c r="Y73" s="342"/>
      <c r="Z73" s="469"/>
      <c r="AA73" s="469"/>
      <c r="AB73" s="342"/>
      <c r="AC73" s="342"/>
      <c r="AD73" s="342"/>
    </row>
    <row r="74" spans="1:30">
      <c r="A74" s="1551" t="s">
        <v>61</v>
      </c>
      <c r="B74" s="1548" t="s">
        <v>146</v>
      </c>
      <c r="C74" s="1548" t="s">
        <v>63</v>
      </c>
      <c r="D74" s="1548" t="s">
        <v>147</v>
      </c>
      <c r="E74" s="1548" t="s">
        <v>508</v>
      </c>
      <c r="F74" s="1548" t="s">
        <v>509</v>
      </c>
      <c r="G74" s="1548"/>
      <c r="H74" s="1548"/>
      <c r="I74" s="1548"/>
      <c r="J74" s="1548"/>
      <c r="K74" s="1548"/>
      <c r="L74" s="1548"/>
      <c r="M74" s="1548"/>
      <c r="N74" s="1548"/>
      <c r="O74" s="1548"/>
      <c r="P74" s="1548"/>
      <c r="Q74" s="1548"/>
      <c r="R74" s="1548"/>
      <c r="S74" s="1548"/>
      <c r="T74" s="1548"/>
      <c r="U74" s="1548"/>
    </row>
    <row r="75" spans="1:30">
      <c r="A75" s="1551"/>
      <c r="B75" s="1548"/>
      <c r="C75" s="1548"/>
      <c r="D75" s="1548"/>
      <c r="E75" s="1548"/>
      <c r="F75" s="1548" t="s">
        <v>158</v>
      </c>
      <c r="G75" s="1547" t="s">
        <v>357</v>
      </c>
      <c r="H75" s="1547"/>
      <c r="I75" s="1547"/>
      <c r="J75" s="1547"/>
      <c r="K75" s="1547"/>
      <c r="L75" s="1547"/>
      <c r="M75" s="1547"/>
      <c r="N75" s="1548" t="s">
        <v>522</v>
      </c>
      <c r="O75" s="1548" t="s">
        <v>163</v>
      </c>
      <c r="P75" s="1548"/>
      <c r="Q75" s="1548"/>
      <c r="R75" s="1548"/>
      <c r="S75" s="1548"/>
      <c r="T75" s="1548" t="s">
        <v>148</v>
      </c>
      <c r="U75" s="1548" t="s">
        <v>473</v>
      </c>
    </row>
    <row r="76" spans="1:30">
      <c r="A76" s="1551"/>
      <c r="B76" s="1548"/>
      <c r="C76" s="1548"/>
      <c r="D76" s="1548"/>
      <c r="E76" s="1548"/>
      <c r="F76" s="1548"/>
      <c r="G76" s="1548" t="s">
        <v>523</v>
      </c>
      <c r="H76" s="1547" t="s">
        <v>2</v>
      </c>
      <c r="I76" s="1547"/>
      <c r="J76" s="1547"/>
      <c r="K76" s="1547"/>
      <c r="L76" s="1547"/>
      <c r="M76" s="1547"/>
      <c r="N76" s="1548"/>
      <c r="O76" s="1548"/>
      <c r="P76" s="1547" t="s">
        <v>360</v>
      </c>
      <c r="Q76" s="1547" t="s">
        <v>361</v>
      </c>
      <c r="R76" s="1547" t="s">
        <v>362</v>
      </c>
      <c r="S76" s="1547" t="s">
        <v>363</v>
      </c>
      <c r="T76" s="1548"/>
      <c r="U76" s="1548"/>
    </row>
    <row r="77" spans="1:30">
      <c r="A77" s="1551"/>
      <c r="B77" s="1548"/>
      <c r="C77" s="1548"/>
      <c r="D77" s="1548"/>
      <c r="E77" s="1548"/>
      <c r="F77" s="1548"/>
      <c r="G77" s="1548"/>
      <c r="H77" s="1547" t="s">
        <v>513</v>
      </c>
      <c r="I77" s="1547" t="s">
        <v>364</v>
      </c>
      <c r="J77" s="1548" t="s">
        <v>524</v>
      </c>
      <c r="K77" s="1547" t="s">
        <v>525</v>
      </c>
      <c r="L77" s="1547" t="s">
        <v>187</v>
      </c>
      <c r="M77" s="1547" t="s">
        <v>164</v>
      </c>
      <c r="N77" s="1548"/>
      <c r="O77" s="1548"/>
      <c r="P77" s="1547"/>
      <c r="Q77" s="1547"/>
      <c r="R77" s="1547"/>
      <c r="S77" s="1547"/>
      <c r="T77" s="1548"/>
      <c r="U77" s="1548"/>
    </row>
    <row r="78" spans="1:30">
      <c r="A78" s="1551"/>
      <c r="B78" s="1548"/>
      <c r="C78" s="1548"/>
      <c r="D78" s="1548"/>
      <c r="E78" s="1548"/>
      <c r="F78" s="1548"/>
      <c r="G78" s="1548"/>
      <c r="H78" s="1547"/>
      <c r="I78" s="1547"/>
      <c r="J78" s="1548"/>
      <c r="K78" s="1547"/>
      <c r="L78" s="1547"/>
      <c r="M78" s="1547"/>
      <c r="N78" s="1548"/>
      <c r="O78" s="1548"/>
      <c r="P78" s="1547"/>
      <c r="Q78" s="1547"/>
      <c r="R78" s="1547"/>
      <c r="S78" s="1547"/>
      <c r="T78" s="1548"/>
      <c r="U78" s="1548"/>
    </row>
    <row r="79" spans="1:30">
      <c r="A79" s="445"/>
      <c r="B79" s="446" t="s">
        <v>526</v>
      </c>
      <c r="C79" s="447"/>
      <c r="D79" s="447"/>
      <c r="E79" s="448">
        <f t="shared" ref="E79:U79" si="22">E80+E81+E87+E91+E93+E96+E107</f>
        <v>32822.699999999997</v>
      </c>
      <c r="F79" s="448">
        <f t="shared" si="22"/>
        <v>27722.7</v>
      </c>
      <c r="G79" s="448">
        <f t="shared" si="22"/>
        <v>26122.7</v>
      </c>
      <c r="H79" s="448">
        <f t="shared" si="22"/>
        <v>833</v>
      </c>
      <c r="I79" s="448">
        <f t="shared" si="22"/>
        <v>0</v>
      </c>
      <c r="J79" s="448">
        <f t="shared" si="22"/>
        <v>1969.7</v>
      </c>
      <c r="K79" s="448">
        <f t="shared" si="22"/>
        <v>2500</v>
      </c>
      <c r="L79" s="448">
        <f t="shared" si="22"/>
        <v>17200</v>
      </c>
      <c r="M79" s="448">
        <f t="shared" si="22"/>
        <v>200</v>
      </c>
      <c r="N79" s="448">
        <f t="shared" si="22"/>
        <v>0</v>
      </c>
      <c r="O79" s="448">
        <f t="shared" si="22"/>
        <v>0</v>
      </c>
      <c r="P79" s="448">
        <f t="shared" si="22"/>
        <v>0</v>
      </c>
      <c r="Q79" s="448">
        <f t="shared" si="22"/>
        <v>0</v>
      </c>
      <c r="R79" s="448">
        <f t="shared" si="22"/>
        <v>0</v>
      </c>
      <c r="S79" s="448">
        <f t="shared" si="22"/>
        <v>0</v>
      </c>
      <c r="T79" s="448">
        <f t="shared" si="22"/>
        <v>0</v>
      </c>
      <c r="U79" s="448">
        <f t="shared" si="22"/>
        <v>5100</v>
      </c>
    </row>
    <row r="80" spans="1:30">
      <c r="A80" s="445">
        <v>1</v>
      </c>
      <c r="B80" s="449" t="s">
        <v>527</v>
      </c>
      <c r="C80" s="447" t="s">
        <v>71</v>
      </c>
      <c r="D80" s="447">
        <v>1</v>
      </c>
      <c r="E80" s="448">
        <f>F80+N80+O80+T80+U80</f>
        <v>200</v>
      </c>
      <c r="F80" s="448">
        <f>G80+O80</f>
        <v>200</v>
      </c>
      <c r="G80" s="448">
        <f>H80+I80+J80+K80+L80+M80</f>
        <v>200</v>
      </c>
      <c r="H80" s="448"/>
      <c r="I80" s="448"/>
      <c r="J80" s="448"/>
      <c r="K80" s="448"/>
      <c r="L80" s="448"/>
      <c r="M80" s="445">
        <v>200</v>
      </c>
      <c r="N80" s="448"/>
      <c r="O80" s="448"/>
      <c r="P80" s="448"/>
      <c r="Q80" s="448"/>
      <c r="R80" s="448"/>
      <c r="S80" s="448"/>
      <c r="T80" s="448"/>
      <c r="U80" s="448"/>
    </row>
    <row r="81" spans="1:30">
      <c r="A81" s="445">
        <v>2</v>
      </c>
      <c r="B81" s="446" t="s">
        <v>29</v>
      </c>
      <c r="C81" s="447"/>
      <c r="D81" s="447"/>
      <c r="E81" s="448">
        <f>E82+E83+E84+E85+E86</f>
        <v>8502.7000000000007</v>
      </c>
      <c r="F81" s="448">
        <f t="shared" ref="F81:U81" si="23">F82+F83+F84+F85+F86</f>
        <v>3802.7</v>
      </c>
      <c r="G81" s="448">
        <f t="shared" si="23"/>
        <v>2202.6999999999998</v>
      </c>
      <c r="H81" s="448">
        <f t="shared" si="23"/>
        <v>233</v>
      </c>
      <c r="I81" s="448">
        <f t="shared" si="23"/>
        <v>0</v>
      </c>
      <c r="J81" s="448">
        <f t="shared" si="23"/>
        <v>1969.7</v>
      </c>
      <c r="K81" s="448">
        <f t="shared" si="23"/>
        <v>0</v>
      </c>
      <c r="L81" s="448">
        <f t="shared" si="23"/>
        <v>0</v>
      </c>
      <c r="M81" s="448">
        <f t="shared" si="23"/>
        <v>0</v>
      </c>
      <c r="N81" s="448">
        <f t="shared" si="23"/>
        <v>0</v>
      </c>
      <c r="O81" s="448">
        <f t="shared" si="23"/>
        <v>0</v>
      </c>
      <c r="P81" s="448">
        <f t="shared" si="23"/>
        <v>0</v>
      </c>
      <c r="Q81" s="448">
        <f t="shared" si="23"/>
        <v>0</v>
      </c>
      <c r="R81" s="448">
        <f t="shared" si="23"/>
        <v>0</v>
      </c>
      <c r="S81" s="448">
        <f t="shared" si="23"/>
        <v>0</v>
      </c>
      <c r="T81" s="448">
        <f t="shared" si="23"/>
        <v>0</v>
      </c>
      <c r="U81" s="448">
        <f t="shared" si="23"/>
        <v>4700</v>
      </c>
    </row>
    <row r="82" spans="1:30" ht="25.5">
      <c r="A82" s="450" t="s">
        <v>81</v>
      </c>
      <c r="B82" s="449" t="s">
        <v>528</v>
      </c>
      <c r="C82" s="447" t="s">
        <v>529</v>
      </c>
      <c r="D82" s="447">
        <v>160</v>
      </c>
      <c r="E82" s="448">
        <f>F82+N82+O82+T82+U82</f>
        <v>80</v>
      </c>
      <c r="F82" s="448">
        <f>G82+O82</f>
        <v>0</v>
      </c>
      <c r="G82" s="448">
        <f>H82+I82+J82+K82+L82+M82</f>
        <v>0</v>
      </c>
      <c r="H82" s="451"/>
      <c r="I82" s="451"/>
      <c r="J82" s="451"/>
      <c r="K82" s="451"/>
      <c r="L82" s="451"/>
      <c r="M82" s="451"/>
      <c r="N82" s="451"/>
      <c r="O82" s="451"/>
      <c r="P82" s="451"/>
      <c r="Q82" s="451"/>
      <c r="R82" s="451"/>
      <c r="S82" s="451"/>
      <c r="T82" s="451"/>
      <c r="U82" s="451">
        <v>80</v>
      </c>
    </row>
    <row r="83" spans="1:30">
      <c r="A83" s="450" t="s">
        <v>81</v>
      </c>
      <c r="B83" s="449" t="s">
        <v>530</v>
      </c>
      <c r="C83" s="447" t="s">
        <v>69</v>
      </c>
      <c r="D83" s="447">
        <v>24</v>
      </c>
      <c r="E83" s="447">
        <v>1600</v>
      </c>
      <c r="F83" s="447">
        <v>1600</v>
      </c>
      <c r="G83" s="451"/>
      <c r="H83" s="451"/>
      <c r="I83" s="451"/>
      <c r="J83" s="451"/>
      <c r="K83" s="451"/>
      <c r="L83" s="451"/>
      <c r="M83" s="451"/>
      <c r="N83" s="451"/>
      <c r="O83" s="451"/>
      <c r="P83" s="451"/>
      <c r="Q83" s="451"/>
      <c r="R83" s="451"/>
      <c r="S83" s="451"/>
      <c r="T83" s="451"/>
      <c r="U83" s="451"/>
    </row>
    <row r="84" spans="1:30" s="466" customFormat="1">
      <c r="A84" s="450" t="s">
        <v>81</v>
      </c>
      <c r="B84" s="452" t="s">
        <v>372</v>
      </c>
      <c r="C84" s="447" t="s">
        <v>69</v>
      </c>
      <c r="D84" s="447">
        <v>5.43</v>
      </c>
      <c r="E84" s="447">
        <f>F84+N84+O84+T84+U84</f>
        <v>4293</v>
      </c>
      <c r="F84" s="447">
        <f>G84+O84</f>
        <v>1443</v>
      </c>
      <c r="G84" s="447">
        <f>H84+I84+J84+K84+L84+M84</f>
        <v>1443</v>
      </c>
      <c r="H84" s="451"/>
      <c r="I84" s="451"/>
      <c r="J84" s="451">
        <v>1443</v>
      </c>
      <c r="K84" s="451"/>
      <c r="L84" s="451"/>
      <c r="M84" s="451"/>
      <c r="N84" s="451"/>
      <c r="O84" s="451"/>
      <c r="P84" s="451"/>
      <c r="Q84" s="451"/>
      <c r="R84" s="451"/>
      <c r="S84" s="451"/>
      <c r="T84" s="451"/>
      <c r="U84" s="451">
        <v>2850</v>
      </c>
      <c r="V84" s="97"/>
      <c r="W84" s="97"/>
      <c r="X84" s="96"/>
      <c r="Y84" s="96"/>
      <c r="Z84" s="98"/>
      <c r="AA84" s="98"/>
      <c r="AB84" s="97"/>
      <c r="AC84" s="97"/>
      <c r="AD84" s="97"/>
    </row>
    <row r="85" spans="1:30" s="388" customFormat="1">
      <c r="A85" s="471" t="s">
        <v>81</v>
      </c>
      <c r="B85" s="474" t="s">
        <v>181</v>
      </c>
      <c r="C85" s="472" t="s">
        <v>69</v>
      </c>
      <c r="D85" s="472">
        <v>1.1499999999999999</v>
      </c>
      <c r="E85" s="472">
        <f>F85+N85+O85+T85+U85</f>
        <v>753</v>
      </c>
      <c r="F85" s="472">
        <f>G85+O85</f>
        <v>233</v>
      </c>
      <c r="G85" s="472">
        <f>H85+I85+J85+K85+L85+M85</f>
        <v>233</v>
      </c>
      <c r="H85" s="473">
        <v>233</v>
      </c>
      <c r="I85" s="473"/>
      <c r="J85" s="473"/>
      <c r="K85" s="473"/>
      <c r="L85" s="473"/>
      <c r="M85" s="473"/>
      <c r="N85" s="473"/>
      <c r="O85" s="473"/>
      <c r="P85" s="473"/>
      <c r="Q85" s="473"/>
      <c r="R85" s="473"/>
      <c r="S85" s="473"/>
      <c r="T85" s="473"/>
      <c r="U85" s="473">
        <v>520</v>
      </c>
      <c r="V85" s="432"/>
      <c r="W85" s="435">
        <f>E85-F85</f>
        <v>520</v>
      </c>
      <c r="X85" s="433"/>
      <c r="Y85" s="433"/>
      <c r="Z85" s="434"/>
      <c r="AA85" s="434"/>
      <c r="AB85" s="432"/>
      <c r="AC85" s="432"/>
      <c r="AD85" s="432"/>
    </row>
    <row r="86" spans="1:30" s="466" customFormat="1">
      <c r="A86" s="450" t="s">
        <v>81</v>
      </c>
      <c r="B86" s="449" t="s">
        <v>182</v>
      </c>
      <c r="C86" s="447" t="s">
        <v>69</v>
      </c>
      <c r="D86" s="447">
        <v>2.6</v>
      </c>
      <c r="E86" s="447">
        <f>F86+N86+O86+T86+U86</f>
        <v>1776.7</v>
      </c>
      <c r="F86" s="447">
        <f>G86+O86</f>
        <v>526.70000000000005</v>
      </c>
      <c r="G86" s="447">
        <f>H86+I86+J86+K86+L86+M86</f>
        <v>526.70000000000005</v>
      </c>
      <c r="H86" s="451"/>
      <c r="I86" s="451"/>
      <c r="J86" s="451">
        <v>526.70000000000005</v>
      </c>
      <c r="K86" s="451"/>
      <c r="L86" s="451"/>
      <c r="M86" s="451"/>
      <c r="N86" s="451"/>
      <c r="O86" s="451"/>
      <c r="P86" s="451"/>
      <c r="Q86" s="451"/>
      <c r="R86" s="451"/>
      <c r="S86" s="451"/>
      <c r="T86" s="451"/>
      <c r="U86" s="451">
        <v>1250</v>
      </c>
      <c r="V86" s="97"/>
      <c r="W86" s="97"/>
      <c r="X86" s="96"/>
      <c r="Y86" s="96"/>
      <c r="Z86" s="98"/>
      <c r="AA86" s="98"/>
      <c r="AB86" s="97"/>
      <c r="AC86" s="97"/>
      <c r="AD86" s="97"/>
    </row>
    <row r="87" spans="1:30">
      <c r="A87" s="445">
        <v>3</v>
      </c>
      <c r="B87" s="446" t="s">
        <v>531</v>
      </c>
      <c r="C87" s="447"/>
      <c r="D87" s="448"/>
      <c r="E87" s="448">
        <f>SUM(E88:E90)</f>
        <v>2300</v>
      </c>
      <c r="F87" s="448">
        <f t="shared" ref="F87:U87" si="24">SUM(F88:F90)</f>
        <v>1900</v>
      </c>
      <c r="G87" s="448">
        <f t="shared" si="24"/>
        <v>1900</v>
      </c>
      <c r="H87" s="448">
        <f t="shared" si="24"/>
        <v>400</v>
      </c>
      <c r="I87" s="448">
        <f t="shared" si="24"/>
        <v>0</v>
      </c>
      <c r="J87" s="448">
        <f t="shared" si="24"/>
        <v>0</v>
      </c>
      <c r="K87" s="448">
        <f t="shared" si="24"/>
        <v>1500</v>
      </c>
      <c r="L87" s="448">
        <f t="shared" si="24"/>
        <v>0</v>
      </c>
      <c r="M87" s="448">
        <f t="shared" si="24"/>
        <v>0</v>
      </c>
      <c r="N87" s="448">
        <f t="shared" si="24"/>
        <v>0</v>
      </c>
      <c r="O87" s="448">
        <f t="shared" si="24"/>
        <v>0</v>
      </c>
      <c r="P87" s="448">
        <f t="shared" si="24"/>
        <v>0</v>
      </c>
      <c r="Q87" s="448">
        <f t="shared" si="24"/>
        <v>0</v>
      </c>
      <c r="R87" s="448">
        <f t="shared" si="24"/>
        <v>0</v>
      </c>
      <c r="S87" s="448">
        <f t="shared" si="24"/>
        <v>0</v>
      </c>
      <c r="T87" s="448">
        <f t="shared" si="24"/>
        <v>0</v>
      </c>
      <c r="U87" s="448">
        <f t="shared" si="24"/>
        <v>400</v>
      </c>
    </row>
    <row r="88" spans="1:30" ht="25.5">
      <c r="A88" s="453"/>
      <c r="B88" s="449" t="s">
        <v>532</v>
      </c>
      <c r="C88" s="454" t="s">
        <v>533</v>
      </c>
      <c r="D88" s="454">
        <v>10</v>
      </c>
      <c r="E88" s="447">
        <f>F88+N88+O88+T88+U88</f>
        <v>800</v>
      </c>
      <c r="F88" s="447">
        <f>G88+O88</f>
        <v>400</v>
      </c>
      <c r="G88" s="447">
        <f>H88+I88+J88+K88+L88+M88</f>
        <v>400</v>
      </c>
      <c r="H88" s="455">
        <v>400</v>
      </c>
      <c r="I88" s="455"/>
      <c r="J88" s="455"/>
      <c r="K88" s="455"/>
      <c r="L88" s="455"/>
      <c r="M88" s="455"/>
      <c r="N88" s="455"/>
      <c r="O88" s="455"/>
      <c r="P88" s="455"/>
      <c r="Q88" s="455"/>
      <c r="R88" s="455"/>
      <c r="S88" s="455"/>
      <c r="T88" s="455"/>
      <c r="U88" s="455">
        <v>400</v>
      </c>
    </row>
    <row r="89" spans="1:30">
      <c r="A89" s="453"/>
      <c r="B89" s="449" t="s">
        <v>534</v>
      </c>
      <c r="C89" s="454" t="s">
        <v>71</v>
      </c>
      <c r="D89" s="454">
        <v>1</v>
      </c>
      <c r="E89" s="447">
        <f>F89+N89+O89+T89+U89</f>
        <v>1000</v>
      </c>
      <c r="F89" s="447">
        <f>G89+O89</f>
        <v>1000</v>
      </c>
      <c r="G89" s="447">
        <f>H89+I89+J89+K89+L89+M89</f>
        <v>1000</v>
      </c>
      <c r="H89" s="455"/>
      <c r="I89" s="455"/>
      <c r="J89" s="455"/>
      <c r="K89" s="455">
        <v>1000</v>
      </c>
      <c r="L89" s="455"/>
      <c r="M89" s="455"/>
      <c r="N89" s="455"/>
      <c r="O89" s="455"/>
      <c r="P89" s="455"/>
      <c r="Q89" s="455"/>
      <c r="R89" s="455"/>
      <c r="S89" s="455"/>
      <c r="T89" s="455"/>
      <c r="U89" s="455"/>
    </row>
    <row r="90" spans="1:30">
      <c r="A90" s="453"/>
      <c r="B90" s="449" t="s">
        <v>535</v>
      </c>
      <c r="C90" s="454" t="s">
        <v>71</v>
      </c>
      <c r="D90" s="454">
        <v>500</v>
      </c>
      <c r="E90" s="447">
        <f>F90+N90+O90+T90+U90</f>
        <v>500</v>
      </c>
      <c r="F90" s="447">
        <f>G90+O90</f>
        <v>500</v>
      </c>
      <c r="G90" s="447">
        <f>H90+I90+J90+K90+L90+M90</f>
        <v>500</v>
      </c>
      <c r="H90" s="455"/>
      <c r="I90" s="455"/>
      <c r="J90" s="455"/>
      <c r="K90" s="455">
        <v>500</v>
      </c>
      <c r="L90" s="455"/>
      <c r="M90" s="455"/>
      <c r="N90" s="455"/>
      <c r="O90" s="455"/>
      <c r="P90" s="455"/>
      <c r="Q90" s="455"/>
      <c r="R90" s="455"/>
      <c r="S90" s="455"/>
      <c r="T90" s="455"/>
      <c r="U90" s="455"/>
    </row>
    <row r="91" spans="1:30">
      <c r="A91" s="456">
        <v>4</v>
      </c>
      <c r="B91" s="457" t="s">
        <v>429</v>
      </c>
      <c r="C91" s="458"/>
      <c r="D91" s="458"/>
      <c r="E91" s="458">
        <f>E92</f>
        <v>320</v>
      </c>
      <c r="F91" s="458">
        <f>F92</f>
        <v>320</v>
      </c>
      <c r="G91" s="458">
        <f>G92</f>
        <v>320</v>
      </c>
      <c r="H91" s="458">
        <f>H92</f>
        <v>0</v>
      </c>
      <c r="I91" s="458"/>
      <c r="J91" s="458">
        <f>J92</f>
        <v>0</v>
      </c>
      <c r="K91" s="458"/>
      <c r="L91" s="458"/>
      <c r="M91" s="458"/>
      <c r="N91" s="458"/>
      <c r="O91" s="458"/>
      <c r="P91" s="458"/>
      <c r="Q91" s="458"/>
      <c r="R91" s="458"/>
      <c r="S91" s="458"/>
      <c r="T91" s="458">
        <f>T92</f>
        <v>0</v>
      </c>
      <c r="U91" s="458">
        <f>U92</f>
        <v>0</v>
      </c>
    </row>
    <row r="92" spans="1:30" s="388" customFormat="1" ht="25.5">
      <c r="A92" s="604"/>
      <c r="B92" s="605" t="s">
        <v>536</v>
      </c>
      <c r="C92" s="606" t="s">
        <v>428</v>
      </c>
      <c r="D92" s="606">
        <v>8</v>
      </c>
      <c r="E92" s="607">
        <f>F92+N92+O92+T92+U92</f>
        <v>320</v>
      </c>
      <c r="F92" s="607">
        <f>G92+O92</f>
        <v>320</v>
      </c>
      <c r="G92" s="607">
        <f>H92+I92+J92+K92+L92+M92</f>
        <v>320</v>
      </c>
      <c r="H92" s="608"/>
      <c r="I92" s="608"/>
      <c r="J92" s="608"/>
      <c r="K92" s="608"/>
      <c r="L92" s="608"/>
      <c r="M92" s="608">
        <v>320</v>
      </c>
      <c r="N92" s="608"/>
      <c r="O92" s="608"/>
      <c r="P92" s="608"/>
      <c r="Q92" s="608"/>
      <c r="R92" s="608"/>
      <c r="S92" s="608"/>
      <c r="T92" s="608"/>
      <c r="U92" s="608"/>
      <c r="V92" s="601"/>
      <c r="W92" s="601"/>
      <c r="X92" s="602"/>
      <c r="Y92" s="602"/>
      <c r="Z92" s="603"/>
      <c r="AA92" s="603"/>
      <c r="AB92" s="601"/>
      <c r="AC92" s="601"/>
      <c r="AD92" s="601"/>
    </row>
    <row r="93" spans="1:30">
      <c r="A93" s="456">
        <v>5</v>
      </c>
      <c r="B93" s="459" t="s">
        <v>44</v>
      </c>
      <c r="C93" s="458"/>
      <c r="D93" s="458"/>
      <c r="E93" s="458">
        <f>SUM(E94:E95)</f>
        <v>700</v>
      </c>
      <c r="F93" s="458">
        <f>SUM(F94:F95)</f>
        <v>700</v>
      </c>
      <c r="G93" s="458">
        <f>SUM(G94:G95)</f>
        <v>700</v>
      </c>
      <c r="H93" s="458">
        <f>SUM(H94:H95)</f>
        <v>0</v>
      </c>
      <c r="I93" s="458"/>
      <c r="J93" s="458">
        <f>SUM(J94:J95)</f>
        <v>0</v>
      </c>
      <c r="K93" s="458"/>
      <c r="L93" s="458"/>
      <c r="M93" s="458"/>
      <c r="N93" s="458"/>
      <c r="O93" s="458"/>
      <c r="P93" s="458"/>
      <c r="Q93" s="458"/>
      <c r="R93" s="458"/>
      <c r="S93" s="458"/>
      <c r="T93" s="458">
        <f>SUM(T94:T95)</f>
        <v>0</v>
      </c>
      <c r="U93" s="458">
        <f>SUM(U94:U95)</f>
        <v>0</v>
      </c>
    </row>
    <row r="94" spans="1:30" s="388" customFormat="1" ht="25.5">
      <c r="A94" s="475"/>
      <c r="B94" s="474" t="s">
        <v>537</v>
      </c>
      <c r="C94" s="476" t="s">
        <v>538</v>
      </c>
      <c r="D94" s="476">
        <v>1</v>
      </c>
      <c r="E94" s="472">
        <f>F94+N94+O94+T94+U94</f>
        <v>500</v>
      </c>
      <c r="F94" s="472">
        <f>G94+O94</f>
        <v>500</v>
      </c>
      <c r="G94" s="472">
        <f>H94+I94+J94+K94+L94+M94</f>
        <v>500</v>
      </c>
      <c r="H94" s="477"/>
      <c r="I94" s="477"/>
      <c r="J94" s="477"/>
      <c r="K94" s="477"/>
      <c r="L94" s="477"/>
      <c r="M94" s="477">
        <v>500</v>
      </c>
      <c r="N94" s="477"/>
      <c r="O94" s="477"/>
      <c r="P94" s="477"/>
      <c r="Q94" s="477"/>
      <c r="R94" s="477"/>
      <c r="S94" s="477"/>
      <c r="T94" s="477"/>
      <c r="U94" s="477"/>
      <c r="V94" s="432"/>
      <c r="W94" s="432"/>
      <c r="X94" s="433"/>
      <c r="Y94" s="433"/>
      <c r="Z94" s="434"/>
      <c r="AA94" s="434"/>
      <c r="AB94" s="432"/>
      <c r="AC94" s="432"/>
      <c r="AD94" s="432"/>
    </row>
    <row r="95" spans="1:30" s="466" customFormat="1">
      <c r="A95" s="453"/>
      <c r="B95" s="449" t="s">
        <v>539</v>
      </c>
      <c r="C95" s="454" t="s">
        <v>432</v>
      </c>
      <c r="D95" s="454">
        <v>12</v>
      </c>
      <c r="E95" s="447">
        <f>F95+N95+O95+T95+U95</f>
        <v>200</v>
      </c>
      <c r="F95" s="447">
        <f>G95+O95</f>
        <v>200</v>
      </c>
      <c r="G95" s="447">
        <f>H95+I95+J95+K95+L95+M95</f>
        <v>200</v>
      </c>
      <c r="H95" s="460"/>
      <c r="I95" s="460"/>
      <c r="J95" s="460"/>
      <c r="K95" s="460"/>
      <c r="L95" s="460"/>
      <c r="M95" s="460">
        <v>200</v>
      </c>
      <c r="N95" s="460"/>
      <c r="O95" s="460"/>
      <c r="P95" s="460"/>
      <c r="Q95" s="460"/>
      <c r="R95" s="460"/>
      <c r="S95" s="460"/>
      <c r="T95" s="460"/>
      <c r="U95" s="460"/>
      <c r="V95" s="97"/>
      <c r="W95" s="97"/>
      <c r="X95" s="96"/>
      <c r="Y95" s="96"/>
      <c r="Z95" s="98"/>
      <c r="AA95" s="98"/>
      <c r="AB95" s="97"/>
      <c r="AC95" s="97"/>
      <c r="AD95" s="97"/>
    </row>
    <row r="96" spans="1:30">
      <c r="A96" s="456">
        <v>6</v>
      </c>
      <c r="B96" s="459" t="s">
        <v>75</v>
      </c>
      <c r="C96" s="458"/>
      <c r="D96" s="458"/>
      <c r="E96" s="458">
        <f>E97+E99+E102</f>
        <v>20600</v>
      </c>
      <c r="F96" s="458">
        <f t="shared" ref="F96:U96" si="25">F97+F99+F102</f>
        <v>20600</v>
      </c>
      <c r="G96" s="458">
        <f t="shared" si="25"/>
        <v>20600</v>
      </c>
      <c r="H96" s="458">
        <f t="shared" si="25"/>
        <v>0</v>
      </c>
      <c r="I96" s="458">
        <f t="shared" si="25"/>
        <v>0</v>
      </c>
      <c r="J96" s="458">
        <f t="shared" si="25"/>
        <v>0</v>
      </c>
      <c r="K96" s="458">
        <f t="shared" si="25"/>
        <v>1000</v>
      </c>
      <c r="L96" s="458">
        <f t="shared" si="25"/>
        <v>17200</v>
      </c>
      <c r="M96" s="458">
        <f t="shared" si="25"/>
        <v>0</v>
      </c>
      <c r="N96" s="458">
        <f t="shared" si="25"/>
        <v>0</v>
      </c>
      <c r="O96" s="458">
        <f t="shared" si="25"/>
        <v>0</v>
      </c>
      <c r="P96" s="458">
        <f t="shared" si="25"/>
        <v>0</v>
      </c>
      <c r="Q96" s="458">
        <f t="shared" si="25"/>
        <v>0</v>
      </c>
      <c r="R96" s="458">
        <f t="shared" si="25"/>
        <v>0</v>
      </c>
      <c r="S96" s="458">
        <f t="shared" si="25"/>
        <v>0</v>
      </c>
      <c r="T96" s="458">
        <f t="shared" si="25"/>
        <v>0</v>
      </c>
      <c r="U96" s="458">
        <f t="shared" si="25"/>
        <v>0</v>
      </c>
    </row>
    <row r="97" spans="1:30" ht="15.75">
      <c r="A97" s="461" t="s">
        <v>193</v>
      </c>
      <c r="B97" s="462" t="s">
        <v>14</v>
      </c>
      <c r="C97" s="463"/>
      <c r="D97" s="463"/>
      <c r="E97" s="463">
        <f>SUM(E98:E98)</f>
        <v>2400</v>
      </c>
      <c r="F97" s="463">
        <f>SUM(F98:F98)</f>
        <v>2400</v>
      </c>
      <c r="G97" s="463">
        <f>SUM(G98:G98)</f>
        <v>2400</v>
      </c>
      <c r="H97" s="463">
        <f>SUM(H98:H98)</f>
        <v>0</v>
      </c>
      <c r="I97" s="463"/>
      <c r="J97" s="463">
        <f>SUM(J98:J98)</f>
        <v>0</v>
      </c>
      <c r="K97" s="463"/>
      <c r="L97" s="463"/>
      <c r="M97" s="463"/>
      <c r="N97" s="463"/>
      <c r="O97" s="463"/>
      <c r="P97" s="463"/>
      <c r="Q97" s="463"/>
      <c r="R97" s="463"/>
      <c r="S97" s="463"/>
      <c r="T97" s="463">
        <f>SUM(T98:T98)</f>
        <v>0</v>
      </c>
      <c r="U97" s="463">
        <f>SUM(U98:U98)</f>
        <v>0</v>
      </c>
    </row>
    <row r="98" spans="1:30" s="388" customFormat="1" ht="38.25">
      <c r="A98" s="475"/>
      <c r="B98" s="474" t="s">
        <v>540</v>
      </c>
      <c r="C98" s="476" t="s">
        <v>541</v>
      </c>
      <c r="D98" s="476">
        <f>110*1.5</f>
        <v>165</v>
      </c>
      <c r="E98" s="472">
        <f>F98+N98+O98+T98+U98</f>
        <v>2400</v>
      </c>
      <c r="F98" s="472">
        <f>G98+O98</f>
        <v>2400</v>
      </c>
      <c r="G98" s="472">
        <f>H98+I98+J98+K98+L98+M98</f>
        <v>2400</v>
      </c>
      <c r="H98" s="477"/>
      <c r="I98" s="477"/>
      <c r="J98" s="477"/>
      <c r="K98" s="477"/>
      <c r="L98" s="477">
        <v>2400</v>
      </c>
      <c r="M98" s="477"/>
      <c r="N98" s="477"/>
      <c r="O98" s="477"/>
      <c r="P98" s="477"/>
      <c r="Q98" s="477"/>
      <c r="R98" s="477"/>
      <c r="S98" s="477"/>
      <c r="T98" s="477"/>
      <c r="U98" s="477"/>
      <c r="V98" s="432"/>
      <c r="W98" s="432"/>
      <c r="X98" s="433"/>
      <c r="Y98" s="433"/>
      <c r="Z98" s="434"/>
      <c r="AA98" s="434"/>
      <c r="AB98" s="432"/>
      <c r="AC98" s="432"/>
      <c r="AD98" s="432"/>
    </row>
    <row r="99" spans="1:30" s="388" customFormat="1" ht="15.75">
      <c r="A99" s="478" t="s">
        <v>504</v>
      </c>
      <c r="B99" s="479" t="s">
        <v>484</v>
      </c>
      <c r="C99" s="480"/>
      <c r="D99" s="480"/>
      <c r="E99" s="480">
        <f>SUM(E100:E101)</f>
        <v>9000</v>
      </c>
      <c r="F99" s="480">
        <f t="shared" ref="F99:U99" si="26">SUM(F100:F101)</f>
        <v>9000</v>
      </c>
      <c r="G99" s="480">
        <f t="shared" si="26"/>
        <v>9000</v>
      </c>
      <c r="H99" s="480">
        <f t="shared" si="26"/>
        <v>0</v>
      </c>
      <c r="I99" s="480">
        <f t="shared" si="26"/>
        <v>0</v>
      </c>
      <c r="J99" s="480">
        <f t="shared" si="26"/>
        <v>0</v>
      </c>
      <c r="K99" s="480">
        <f t="shared" si="26"/>
        <v>0</v>
      </c>
      <c r="L99" s="480">
        <f t="shared" si="26"/>
        <v>9000</v>
      </c>
      <c r="M99" s="480">
        <f t="shared" si="26"/>
        <v>0</v>
      </c>
      <c r="N99" s="480">
        <f t="shared" si="26"/>
        <v>0</v>
      </c>
      <c r="O99" s="480">
        <f t="shared" si="26"/>
        <v>0</v>
      </c>
      <c r="P99" s="480">
        <f t="shared" si="26"/>
        <v>0</v>
      </c>
      <c r="Q99" s="480">
        <f t="shared" si="26"/>
        <v>0</v>
      </c>
      <c r="R99" s="480">
        <f t="shared" si="26"/>
        <v>0</v>
      </c>
      <c r="S99" s="480">
        <f t="shared" si="26"/>
        <v>0</v>
      </c>
      <c r="T99" s="480">
        <f t="shared" si="26"/>
        <v>0</v>
      </c>
      <c r="U99" s="480">
        <f t="shared" si="26"/>
        <v>0</v>
      </c>
      <c r="V99" s="432"/>
      <c r="W99" s="432"/>
      <c r="X99" s="433"/>
      <c r="Y99" s="433"/>
      <c r="Z99" s="434"/>
      <c r="AA99" s="434"/>
      <c r="AB99" s="432"/>
      <c r="AC99" s="432"/>
      <c r="AD99" s="432"/>
    </row>
    <row r="100" spans="1:30" s="388" customFormat="1">
      <c r="A100" s="475"/>
      <c r="B100" s="474" t="s">
        <v>542</v>
      </c>
      <c r="C100" s="476" t="s">
        <v>541</v>
      </c>
      <c r="D100" s="476">
        <f>10*60*1.5</f>
        <v>900</v>
      </c>
      <c r="E100" s="472">
        <f>F100+N100+O100+T100+U100</f>
        <v>7000</v>
      </c>
      <c r="F100" s="472">
        <f>G100+O100</f>
        <v>7000</v>
      </c>
      <c r="G100" s="472">
        <f>H100+I100+J100+K100+L100+M100</f>
        <v>7000</v>
      </c>
      <c r="H100" s="477"/>
      <c r="I100" s="477"/>
      <c r="J100" s="477"/>
      <c r="K100" s="477"/>
      <c r="L100" s="477">
        <v>7000</v>
      </c>
      <c r="M100" s="477"/>
      <c r="N100" s="477"/>
      <c r="O100" s="477"/>
      <c r="P100" s="477"/>
      <c r="Q100" s="477"/>
      <c r="R100" s="477"/>
      <c r="S100" s="477"/>
      <c r="T100" s="477"/>
      <c r="U100" s="477"/>
      <c r="V100" s="432"/>
      <c r="W100" s="432"/>
      <c r="X100" s="433"/>
      <c r="Y100" s="433"/>
      <c r="Z100" s="434"/>
      <c r="AA100" s="434"/>
      <c r="AB100" s="432"/>
      <c r="AC100" s="432"/>
      <c r="AD100" s="432"/>
    </row>
    <row r="101" spans="1:30" s="388" customFormat="1" ht="25.5">
      <c r="A101" s="475"/>
      <c r="B101" s="474" t="s">
        <v>543</v>
      </c>
      <c r="C101" s="476" t="s">
        <v>541</v>
      </c>
      <c r="D101" s="476">
        <v>1000</v>
      </c>
      <c r="E101" s="472">
        <f>F101+N101+O101+T101+U101</f>
        <v>2000</v>
      </c>
      <c r="F101" s="472">
        <f>G101+O101</f>
        <v>2000</v>
      </c>
      <c r="G101" s="472">
        <f>H101+I101+J101+K101+L101+M101</f>
        <v>2000</v>
      </c>
      <c r="H101" s="477"/>
      <c r="I101" s="477"/>
      <c r="J101" s="477"/>
      <c r="K101" s="477"/>
      <c r="L101" s="477">
        <v>2000</v>
      </c>
      <c r="M101" s="477"/>
      <c r="N101" s="477"/>
      <c r="O101" s="477"/>
      <c r="P101" s="477"/>
      <c r="Q101" s="477"/>
      <c r="R101" s="477"/>
      <c r="S101" s="477"/>
      <c r="T101" s="477"/>
      <c r="U101" s="477"/>
      <c r="V101" s="432"/>
      <c r="W101" s="432"/>
      <c r="X101" s="433"/>
      <c r="Y101" s="433"/>
      <c r="Z101" s="434"/>
      <c r="AA101" s="434"/>
      <c r="AB101" s="432"/>
      <c r="AC101" s="432"/>
      <c r="AD101" s="432"/>
    </row>
    <row r="102" spans="1:30" s="388" customFormat="1" ht="15.75">
      <c r="A102" s="478" t="s">
        <v>506</v>
      </c>
      <c r="B102" s="479" t="s">
        <v>469</v>
      </c>
      <c r="C102" s="480"/>
      <c r="D102" s="480"/>
      <c r="E102" s="480">
        <f>SUM(E103:E106)</f>
        <v>9200</v>
      </c>
      <c r="F102" s="480">
        <f>SUM(F103:F106)</f>
        <v>9200</v>
      </c>
      <c r="G102" s="480">
        <f>SUM(G103:G106)</f>
        <v>9200</v>
      </c>
      <c r="H102" s="480">
        <f t="shared" ref="H102:T102" si="27">SUM(H103:H106)</f>
        <v>0</v>
      </c>
      <c r="I102" s="480">
        <f t="shared" si="27"/>
        <v>0</v>
      </c>
      <c r="J102" s="480">
        <f t="shared" si="27"/>
        <v>0</v>
      </c>
      <c r="K102" s="480">
        <f t="shared" si="27"/>
        <v>1000</v>
      </c>
      <c r="L102" s="480">
        <f t="shared" si="27"/>
        <v>8200</v>
      </c>
      <c r="M102" s="480">
        <f t="shared" si="27"/>
        <v>0</v>
      </c>
      <c r="N102" s="480">
        <f t="shared" si="27"/>
        <v>0</v>
      </c>
      <c r="O102" s="480">
        <f t="shared" si="27"/>
        <v>0</v>
      </c>
      <c r="P102" s="480">
        <f t="shared" si="27"/>
        <v>0</v>
      </c>
      <c r="Q102" s="480">
        <f t="shared" si="27"/>
        <v>0</v>
      </c>
      <c r="R102" s="480">
        <f t="shared" si="27"/>
        <v>0</v>
      </c>
      <c r="S102" s="480">
        <f t="shared" si="27"/>
        <v>0</v>
      </c>
      <c r="T102" s="480">
        <f t="shared" si="27"/>
        <v>0</v>
      </c>
      <c r="U102" s="480">
        <f>SUM(U103:U106)</f>
        <v>0</v>
      </c>
      <c r="V102" s="432"/>
      <c r="W102" s="432"/>
      <c r="X102" s="433"/>
      <c r="Y102" s="433"/>
      <c r="Z102" s="434"/>
      <c r="AA102" s="434"/>
      <c r="AB102" s="432"/>
      <c r="AC102" s="432"/>
      <c r="AD102" s="432"/>
    </row>
    <row r="103" spans="1:30" s="388" customFormat="1" ht="25.5">
      <c r="A103" s="481" t="s">
        <v>81</v>
      </c>
      <c r="B103" s="474" t="s">
        <v>544</v>
      </c>
      <c r="C103" s="476" t="s">
        <v>541</v>
      </c>
      <c r="D103" s="476">
        <v>450</v>
      </c>
      <c r="E103" s="472">
        <f>F103+N103+O103+T103+U103</f>
        <v>7000</v>
      </c>
      <c r="F103" s="472">
        <f>G103+O103</f>
        <v>7000</v>
      </c>
      <c r="G103" s="472">
        <f>H103+I103+J103+K103+L103+M103</f>
        <v>7000</v>
      </c>
      <c r="H103" s="477"/>
      <c r="I103" s="477"/>
      <c r="J103" s="477"/>
      <c r="K103" s="477"/>
      <c r="L103" s="482">
        <v>7000</v>
      </c>
      <c r="M103" s="477"/>
      <c r="N103" s="477"/>
      <c r="O103" s="477"/>
      <c r="P103" s="477"/>
      <c r="Q103" s="477"/>
      <c r="R103" s="477"/>
      <c r="S103" s="477"/>
      <c r="T103" s="477"/>
      <c r="U103" s="477"/>
      <c r="V103" s="432"/>
      <c r="W103" s="432"/>
      <c r="X103" s="433"/>
      <c r="Y103" s="433"/>
      <c r="Z103" s="434"/>
      <c r="AA103" s="434"/>
      <c r="AB103" s="432"/>
      <c r="AC103" s="432"/>
      <c r="AD103" s="432"/>
    </row>
    <row r="104" spans="1:30" s="388" customFormat="1">
      <c r="A104" s="481" t="s">
        <v>81</v>
      </c>
      <c r="B104" s="483" t="s">
        <v>545</v>
      </c>
      <c r="C104" s="476" t="s">
        <v>541</v>
      </c>
      <c r="D104" s="476">
        <v>60</v>
      </c>
      <c r="E104" s="472">
        <f>F104+N104+O104+T104+U104</f>
        <v>0</v>
      </c>
      <c r="F104" s="472">
        <f>G104+O104</f>
        <v>0</v>
      </c>
      <c r="G104" s="472">
        <f>H104+I104+J104+K104+L104+M104</f>
        <v>0</v>
      </c>
      <c r="H104" s="477"/>
      <c r="I104" s="477"/>
      <c r="J104" s="477"/>
      <c r="K104" s="477"/>
      <c r="L104" s="477"/>
      <c r="M104" s="477"/>
      <c r="N104" s="477"/>
      <c r="O104" s="477"/>
      <c r="P104" s="477"/>
      <c r="Q104" s="477"/>
      <c r="R104" s="477"/>
      <c r="S104" s="477"/>
      <c r="T104" s="477"/>
      <c r="U104" s="477"/>
      <c r="V104" s="432"/>
      <c r="W104" s="432"/>
      <c r="X104" s="433"/>
      <c r="Y104" s="433"/>
      <c r="Z104" s="434"/>
      <c r="AA104" s="434"/>
      <c r="AB104" s="432"/>
      <c r="AC104" s="432"/>
      <c r="AD104" s="432"/>
    </row>
    <row r="105" spans="1:30" s="388" customFormat="1">
      <c r="A105" s="481" t="s">
        <v>81</v>
      </c>
      <c r="B105" s="474" t="s">
        <v>546</v>
      </c>
      <c r="C105" s="476" t="s">
        <v>541</v>
      </c>
      <c r="D105" s="476">
        <v>500</v>
      </c>
      <c r="E105" s="472">
        <f>F105+N105+O105+T105+U105</f>
        <v>1200</v>
      </c>
      <c r="F105" s="472">
        <f>G105+O105</f>
        <v>1200</v>
      </c>
      <c r="G105" s="472">
        <f>H105+I105+J105+K105+L105+M105</f>
        <v>1200</v>
      </c>
      <c r="H105" s="477"/>
      <c r="I105" s="477"/>
      <c r="J105" s="477"/>
      <c r="K105" s="477"/>
      <c r="L105" s="477">
        <v>1200</v>
      </c>
      <c r="M105" s="477"/>
      <c r="N105" s="477"/>
      <c r="O105" s="477"/>
      <c r="P105" s="477"/>
      <c r="Q105" s="477"/>
      <c r="R105" s="477"/>
      <c r="S105" s="477"/>
      <c r="T105" s="477"/>
      <c r="U105" s="477"/>
      <c r="V105" s="432"/>
      <c r="W105" s="432"/>
      <c r="X105" s="433"/>
      <c r="Y105" s="433"/>
      <c r="Z105" s="434"/>
      <c r="AA105" s="434"/>
      <c r="AB105" s="432"/>
      <c r="AC105" s="432"/>
      <c r="AD105" s="432"/>
    </row>
    <row r="106" spans="1:30" s="388" customFormat="1">
      <c r="A106" s="481" t="s">
        <v>81</v>
      </c>
      <c r="B106" s="474" t="s">
        <v>547</v>
      </c>
      <c r="C106" s="476" t="s">
        <v>541</v>
      </c>
      <c r="D106" s="476">
        <v>1000</v>
      </c>
      <c r="E106" s="472">
        <f>F106+N106+O106+T106+U106</f>
        <v>1000</v>
      </c>
      <c r="F106" s="472">
        <f>G106+O106</f>
        <v>1000</v>
      </c>
      <c r="G106" s="472">
        <f>H106+I106+J106+K106+L106+M106</f>
        <v>1000</v>
      </c>
      <c r="H106" s="477"/>
      <c r="I106" s="477"/>
      <c r="J106" s="477"/>
      <c r="K106" s="477">
        <v>1000</v>
      </c>
      <c r="L106" s="477"/>
      <c r="M106" s="477"/>
      <c r="N106" s="477"/>
      <c r="O106" s="477"/>
      <c r="P106" s="477"/>
      <c r="Q106" s="477"/>
      <c r="R106" s="477"/>
      <c r="S106" s="477"/>
      <c r="T106" s="477"/>
      <c r="U106" s="477"/>
      <c r="V106" s="432"/>
      <c r="W106" s="432"/>
      <c r="X106" s="433"/>
      <c r="Y106" s="433"/>
      <c r="Z106" s="434"/>
      <c r="AA106" s="434"/>
      <c r="AB106" s="432"/>
      <c r="AC106" s="432"/>
      <c r="AD106" s="432"/>
    </row>
    <row r="107" spans="1:30">
      <c r="A107" s="456">
        <v>7</v>
      </c>
      <c r="B107" s="459" t="s">
        <v>548</v>
      </c>
      <c r="C107" s="458"/>
      <c r="D107" s="458"/>
      <c r="E107" s="458">
        <f>E108+E109</f>
        <v>200</v>
      </c>
      <c r="F107" s="458">
        <f t="shared" ref="F107:U107" si="28">F108+F109</f>
        <v>200</v>
      </c>
      <c r="G107" s="458">
        <f t="shared" si="28"/>
        <v>200</v>
      </c>
      <c r="H107" s="458">
        <f t="shared" si="28"/>
        <v>200</v>
      </c>
      <c r="I107" s="458">
        <f t="shared" si="28"/>
        <v>0</v>
      </c>
      <c r="J107" s="458">
        <f t="shared" si="28"/>
        <v>0</v>
      </c>
      <c r="K107" s="458">
        <f t="shared" si="28"/>
        <v>0</v>
      </c>
      <c r="L107" s="458">
        <f t="shared" si="28"/>
        <v>0</v>
      </c>
      <c r="M107" s="458">
        <f t="shared" si="28"/>
        <v>0</v>
      </c>
      <c r="N107" s="458">
        <f t="shared" si="28"/>
        <v>0</v>
      </c>
      <c r="O107" s="458">
        <f t="shared" si="28"/>
        <v>0</v>
      </c>
      <c r="P107" s="458">
        <f t="shared" si="28"/>
        <v>0</v>
      </c>
      <c r="Q107" s="458">
        <f t="shared" si="28"/>
        <v>0</v>
      </c>
      <c r="R107" s="458">
        <f t="shared" si="28"/>
        <v>0</v>
      </c>
      <c r="S107" s="458">
        <f t="shared" si="28"/>
        <v>0</v>
      </c>
      <c r="T107" s="458">
        <f t="shared" si="28"/>
        <v>0</v>
      </c>
      <c r="U107" s="458">
        <f t="shared" si="28"/>
        <v>0</v>
      </c>
    </row>
    <row r="108" spans="1:30">
      <c r="A108" s="464" t="s">
        <v>81</v>
      </c>
      <c r="B108" s="460" t="s">
        <v>549</v>
      </c>
      <c r="C108" s="454" t="s">
        <v>550</v>
      </c>
      <c r="D108" s="454">
        <v>2</v>
      </c>
      <c r="E108" s="447">
        <f>F108+N108+O108+T108+U108</f>
        <v>100</v>
      </c>
      <c r="F108" s="447">
        <f>G108+O108</f>
        <v>100</v>
      </c>
      <c r="G108" s="447">
        <f>H108+I108+J108+K108+L108+M108</f>
        <v>100</v>
      </c>
      <c r="H108" s="460">
        <v>100</v>
      </c>
      <c r="I108" s="460"/>
      <c r="J108" s="460"/>
      <c r="K108" s="460"/>
      <c r="L108" s="460"/>
      <c r="M108" s="460"/>
      <c r="N108" s="460"/>
      <c r="O108" s="460"/>
      <c r="P108" s="460"/>
      <c r="Q108" s="460"/>
      <c r="R108" s="460"/>
      <c r="S108" s="460"/>
      <c r="T108" s="460"/>
      <c r="U108" s="460"/>
    </row>
    <row r="109" spans="1:30" ht="25.5">
      <c r="A109" s="464" t="s">
        <v>81</v>
      </c>
      <c r="B109" s="465" t="s">
        <v>551</v>
      </c>
      <c r="C109" s="454" t="s">
        <v>550</v>
      </c>
      <c r="D109" s="454">
        <v>1</v>
      </c>
      <c r="E109" s="447">
        <f>F109+N109+O109+T109+U109</f>
        <v>100</v>
      </c>
      <c r="F109" s="447">
        <f>G109+O109</f>
        <v>100</v>
      </c>
      <c r="G109" s="447">
        <f>H109+I109+J109+K109+L109+M109</f>
        <v>100</v>
      </c>
      <c r="H109" s="460">
        <v>100</v>
      </c>
      <c r="I109" s="460"/>
      <c r="J109" s="460"/>
      <c r="K109" s="460"/>
      <c r="L109" s="460"/>
      <c r="M109" s="460"/>
      <c r="N109" s="460"/>
      <c r="O109" s="460"/>
      <c r="P109" s="460"/>
      <c r="Q109" s="460"/>
      <c r="R109" s="460"/>
      <c r="S109" s="460"/>
      <c r="T109" s="460"/>
      <c r="U109" s="460"/>
    </row>
  </sheetData>
  <mergeCells count="80">
    <mergeCell ref="A1:Y1"/>
    <mergeCell ref="A2:Y2"/>
    <mergeCell ref="R3:Y3"/>
    <mergeCell ref="A4:A8"/>
    <mergeCell ref="B4:B8"/>
    <mergeCell ref="C4:C8"/>
    <mergeCell ref="D4:D8"/>
    <mergeCell ref="E4:E8"/>
    <mergeCell ref="F4:Y4"/>
    <mergeCell ref="F5:F8"/>
    <mergeCell ref="X5:X8"/>
    <mergeCell ref="Y5:Y8"/>
    <mergeCell ref="G6:G8"/>
    <mergeCell ref="H6:M6"/>
    <mergeCell ref="N6:N8"/>
    <mergeCell ref="O6:Q6"/>
    <mergeCell ref="W6:W8"/>
    <mergeCell ref="H7:H8"/>
    <mergeCell ref="I7:I8"/>
    <mergeCell ref="J7:J8"/>
    <mergeCell ref="K7:L7"/>
    <mergeCell ref="M7:M8"/>
    <mergeCell ref="O7:O8"/>
    <mergeCell ref="P7:P8"/>
    <mergeCell ref="Q7:Q8"/>
    <mergeCell ref="R5:R8"/>
    <mergeCell ref="S5:S8"/>
    <mergeCell ref="P32:P34"/>
    <mergeCell ref="Q32:Q34"/>
    <mergeCell ref="T6:T8"/>
    <mergeCell ref="U6:U8"/>
    <mergeCell ref="V6:V8"/>
    <mergeCell ref="E30:E34"/>
    <mergeCell ref="F30:F34"/>
    <mergeCell ref="G30:U30"/>
    <mergeCell ref="G31:G34"/>
    <mergeCell ref="H31:L31"/>
    <mergeCell ref="M31:M34"/>
    <mergeCell ref="N31:N34"/>
    <mergeCell ref="O31:O34"/>
    <mergeCell ref="P31:S31"/>
    <mergeCell ref="T31:T34"/>
    <mergeCell ref="U31:U34"/>
    <mergeCell ref="H32:H34"/>
    <mergeCell ref="I32:I34"/>
    <mergeCell ref="J32:J34"/>
    <mergeCell ref="K32:K34"/>
    <mergeCell ref="L32:L34"/>
    <mergeCell ref="J77:J78"/>
    <mergeCell ref="K77:K78"/>
    <mergeCell ref="R32:R34"/>
    <mergeCell ref="S32:S34"/>
    <mergeCell ref="A29:B29"/>
    <mergeCell ref="A74:A78"/>
    <mergeCell ref="B74:B78"/>
    <mergeCell ref="C74:C78"/>
    <mergeCell ref="D74:D78"/>
    <mergeCell ref="E74:E78"/>
    <mergeCell ref="F74:U74"/>
    <mergeCell ref="F75:F78"/>
    <mergeCell ref="A30:A34"/>
    <mergeCell ref="B30:B34"/>
    <mergeCell ref="C30:C34"/>
    <mergeCell ref="D30:D34"/>
    <mergeCell ref="L77:L78"/>
    <mergeCell ref="M77:M78"/>
    <mergeCell ref="U75:U78"/>
    <mergeCell ref="G76:G78"/>
    <mergeCell ref="H76:M76"/>
    <mergeCell ref="P76:P78"/>
    <mergeCell ref="Q76:Q78"/>
    <mergeCell ref="G75:M75"/>
    <mergeCell ref="N75:N78"/>
    <mergeCell ref="O75:O78"/>
    <mergeCell ref="P75:S75"/>
    <mergeCell ref="T75:T78"/>
    <mergeCell ref="R76:R78"/>
    <mergeCell ref="S76:S78"/>
    <mergeCell ref="H77:H78"/>
    <mergeCell ref="I77:I7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tabColor rgb="FFFFFF00"/>
  </sheetPr>
  <dimension ref="A1:AB94"/>
  <sheetViews>
    <sheetView showZeros="0" topLeftCell="A10" zoomScaleNormal="100" zoomScaleSheetLayoutView="70" workbookViewId="0">
      <pane xSplit="4" ySplit="4" topLeftCell="E20" activePane="bottomRight" state="frozen"/>
      <selection activeCell="E25" sqref="E25"/>
      <selection pane="topRight" activeCell="E25" sqref="E25"/>
      <selection pane="bottomLeft" activeCell="E25" sqref="E25"/>
      <selection pane="bottomRight" activeCell="E25" sqref="E25"/>
    </sheetView>
  </sheetViews>
  <sheetFormatPr defaultColWidth="9" defaultRowHeight="12.75"/>
  <cols>
    <col min="1" max="1" width="3.375" style="1184" customWidth="1"/>
    <col min="2" max="2" width="24.375" style="1184" customWidth="1"/>
    <col min="3" max="3" width="32.375" style="1180" hidden="1" customWidth="1"/>
    <col min="4" max="4" width="4.5" style="1178" customWidth="1"/>
    <col min="5" max="5" width="5.625" style="1177" customWidth="1"/>
    <col min="6" max="6" width="8" style="1178" customWidth="1"/>
    <col min="7" max="7" width="7.75" style="1179" customWidth="1"/>
    <col min="8" max="8" width="8.25" style="1180" customWidth="1"/>
    <col min="9" max="9" width="10" style="1180" customWidth="1"/>
    <col min="10" max="10" width="7.875" style="1180" customWidth="1"/>
    <col min="11" max="11" width="8.875" style="1180" customWidth="1"/>
    <col min="12" max="12" width="6.875" style="1180" customWidth="1"/>
    <col min="13" max="13" width="8.25" style="1181" customWidth="1"/>
    <col min="14" max="14" width="7.5" style="1181" customWidth="1"/>
    <col min="15" max="15" width="9.125" style="1181" hidden="1" customWidth="1"/>
    <col min="16" max="16" width="7.875" style="1180" customWidth="1"/>
    <col min="17" max="17" width="10.125" style="1181" customWidth="1"/>
    <col min="18" max="18" width="7.375" style="1181" customWidth="1"/>
    <col min="19" max="19" width="7.5" style="1180" customWidth="1"/>
    <col min="20" max="20" width="7.125" style="1180" hidden="1" customWidth="1"/>
    <col min="21" max="21" width="6.125" style="1180" hidden="1" customWidth="1"/>
    <col min="22" max="22" width="7.375" style="1180" customWidth="1"/>
    <col min="23" max="23" width="7.75" style="1181" hidden="1" customWidth="1"/>
    <col min="24" max="24" width="7.5" style="1181" customWidth="1"/>
    <col min="25" max="25" width="23.75" style="1180" customWidth="1"/>
    <col min="26" max="26" width="0" style="1180" hidden="1" customWidth="1"/>
    <col min="27" max="16384" width="9" style="1180"/>
  </cols>
  <sheetData>
    <row r="1" spans="1:27" ht="33.6" customHeight="1">
      <c r="A1" s="1584" t="s">
        <v>1088</v>
      </c>
      <c r="B1" s="1584"/>
      <c r="C1" s="1584"/>
      <c r="D1" s="1584"/>
      <c r="S1" s="1584" t="s">
        <v>21</v>
      </c>
      <c r="T1" s="1584"/>
      <c r="U1" s="1584"/>
      <c r="V1" s="1584"/>
      <c r="W1" s="1584"/>
      <c r="X1" s="1584"/>
      <c r="Y1" s="1584"/>
    </row>
    <row r="3" spans="1:27" s="1183" customFormat="1" ht="42.6" customHeight="1">
      <c r="A3" s="1585" t="s">
        <v>1089</v>
      </c>
      <c r="B3" s="1585"/>
      <c r="C3" s="1585"/>
      <c r="D3" s="1585"/>
      <c r="E3" s="1585"/>
      <c r="F3" s="1585"/>
      <c r="G3" s="1585"/>
      <c r="H3" s="1585"/>
      <c r="I3" s="1585"/>
      <c r="J3" s="1585"/>
      <c r="K3" s="1585"/>
      <c r="L3" s="1585"/>
      <c r="M3" s="1585"/>
      <c r="N3" s="1585"/>
      <c r="O3" s="1585"/>
      <c r="P3" s="1585"/>
      <c r="Q3" s="1585"/>
      <c r="R3" s="1585"/>
      <c r="S3" s="1585"/>
      <c r="T3" s="1585"/>
      <c r="U3" s="1585"/>
      <c r="V3" s="1585"/>
      <c r="W3" s="1585"/>
      <c r="X3" s="1585"/>
    </row>
    <row r="4" spans="1:27" s="1183" customFormat="1" ht="21" customHeight="1">
      <c r="A4" s="1586" t="s">
        <v>1090</v>
      </c>
      <c r="B4" s="1586"/>
      <c r="C4" s="1587"/>
      <c r="D4" s="1587"/>
      <c r="E4" s="1587"/>
      <c r="F4" s="1587"/>
      <c r="G4" s="1587"/>
      <c r="H4" s="1587"/>
      <c r="I4" s="1587"/>
      <c r="J4" s="1587"/>
      <c r="K4" s="1587"/>
      <c r="L4" s="1587"/>
      <c r="M4" s="1587"/>
      <c r="N4" s="1587"/>
      <c r="O4" s="1587"/>
      <c r="P4" s="1587"/>
      <c r="Q4" s="1587"/>
      <c r="R4" s="1587"/>
      <c r="S4" s="1587"/>
      <c r="T4" s="1587"/>
      <c r="U4" s="1587"/>
      <c r="V4" s="1587"/>
      <c r="W4" s="1587"/>
      <c r="X4" s="1587"/>
    </row>
    <row r="5" spans="1:27" s="1183" customFormat="1" ht="13.5">
      <c r="A5" s="1184"/>
      <c r="B5" s="1184"/>
      <c r="D5" s="1185"/>
      <c r="E5" s="1186"/>
      <c r="F5" s="1187"/>
      <c r="G5" s="1182"/>
      <c r="L5" s="1188"/>
      <c r="M5" s="1188"/>
      <c r="N5" s="1188"/>
      <c r="O5" s="1188"/>
      <c r="Q5" s="1588"/>
      <c r="R5" s="1589"/>
      <c r="S5" s="1589"/>
      <c r="T5" s="1589"/>
      <c r="U5" s="1589"/>
      <c r="V5" s="1589"/>
      <c r="W5" s="1589"/>
      <c r="X5" s="1589"/>
    </row>
    <row r="6" spans="1:27" s="1183" customFormat="1" ht="13.5">
      <c r="A6" s="1590" t="s">
        <v>130</v>
      </c>
      <c r="B6" s="1590" t="s">
        <v>1091</v>
      </c>
      <c r="C6" s="1590" t="s">
        <v>62</v>
      </c>
      <c r="D6" s="1590" t="s">
        <v>1</v>
      </c>
      <c r="E6" s="1591" t="s">
        <v>147</v>
      </c>
      <c r="F6" s="1590" t="s">
        <v>1092</v>
      </c>
      <c r="G6" s="1592" t="s">
        <v>356</v>
      </c>
      <c r="H6" s="1592"/>
      <c r="I6" s="1592"/>
      <c r="J6" s="1592"/>
      <c r="K6" s="1592"/>
      <c r="L6" s="1592"/>
      <c r="M6" s="1592"/>
      <c r="N6" s="1592"/>
      <c r="O6" s="1592"/>
      <c r="P6" s="1592"/>
      <c r="Q6" s="1592"/>
      <c r="R6" s="1592"/>
      <c r="S6" s="1592"/>
      <c r="T6" s="1592"/>
      <c r="U6" s="1592"/>
      <c r="V6" s="1592"/>
      <c r="W6" s="1592"/>
      <c r="X6" s="1592"/>
      <c r="Y6" s="1590" t="s">
        <v>131</v>
      </c>
      <c r="Z6" s="1593" t="s">
        <v>131</v>
      </c>
    </row>
    <row r="7" spans="1:27" s="1183" customFormat="1" ht="13.5">
      <c r="A7" s="1590"/>
      <c r="B7" s="1590"/>
      <c r="C7" s="1590"/>
      <c r="D7" s="1590"/>
      <c r="E7" s="1591"/>
      <c r="F7" s="1590"/>
      <c r="G7" s="1590" t="s">
        <v>158</v>
      </c>
      <c r="H7" s="1191" t="s">
        <v>357</v>
      </c>
      <c r="I7" s="1191"/>
      <c r="J7" s="1191"/>
      <c r="K7" s="1191"/>
      <c r="L7" s="1191"/>
      <c r="M7" s="1191"/>
      <c r="N7" s="1191"/>
      <c r="O7" s="1191"/>
      <c r="P7" s="1191"/>
      <c r="Q7" s="1590" t="s">
        <v>522</v>
      </c>
      <c r="R7" s="1590" t="s">
        <v>163</v>
      </c>
      <c r="S7" s="1191" t="s">
        <v>2</v>
      </c>
      <c r="T7" s="1191"/>
      <c r="U7" s="1191"/>
      <c r="V7" s="1191"/>
      <c r="W7" s="1594" t="s">
        <v>148</v>
      </c>
      <c r="X7" s="1590" t="s">
        <v>127</v>
      </c>
      <c r="Y7" s="1590"/>
      <c r="Z7" s="1593"/>
    </row>
    <row r="8" spans="1:27" s="1183" customFormat="1" ht="13.5">
      <c r="A8" s="1590"/>
      <c r="B8" s="1590"/>
      <c r="C8" s="1590"/>
      <c r="D8" s="1590"/>
      <c r="E8" s="1591"/>
      <c r="F8" s="1590"/>
      <c r="G8" s="1590"/>
      <c r="H8" s="1590" t="s">
        <v>523</v>
      </c>
      <c r="I8" s="1592" t="s">
        <v>2</v>
      </c>
      <c r="J8" s="1592"/>
      <c r="K8" s="1592"/>
      <c r="L8" s="1592"/>
      <c r="M8" s="1590" t="s">
        <v>164</v>
      </c>
      <c r="N8" s="1592" t="s">
        <v>2</v>
      </c>
      <c r="O8" s="1592"/>
      <c r="P8" s="1592"/>
      <c r="Q8" s="1590"/>
      <c r="R8" s="1590"/>
      <c r="S8" s="1592" t="s">
        <v>360</v>
      </c>
      <c r="T8" s="1592" t="s">
        <v>361</v>
      </c>
      <c r="U8" s="1592" t="s">
        <v>362</v>
      </c>
      <c r="V8" s="1592" t="s">
        <v>363</v>
      </c>
      <c r="W8" s="1594"/>
      <c r="X8" s="1590"/>
      <c r="Y8" s="1590"/>
      <c r="Z8" s="1593"/>
    </row>
    <row r="9" spans="1:27" s="1183" customFormat="1" ht="13.5">
      <c r="A9" s="1590"/>
      <c r="B9" s="1590"/>
      <c r="C9" s="1590"/>
      <c r="D9" s="1590"/>
      <c r="E9" s="1591"/>
      <c r="F9" s="1590"/>
      <c r="G9" s="1590"/>
      <c r="H9" s="1590"/>
      <c r="I9" s="1592" t="s">
        <v>706</v>
      </c>
      <c r="J9" s="1592" t="s">
        <v>364</v>
      </c>
      <c r="K9" s="1592" t="s">
        <v>187</v>
      </c>
      <c r="L9" s="1592" t="s">
        <v>1093</v>
      </c>
      <c r="M9" s="1590"/>
      <c r="N9" s="1592" t="s">
        <v>165</v>
      </c>
      <c r="O9" s="1592" t="s">
        <v>366</v>
      </c>
      <c r="P9" s="1592" t="s">
        <v>166</v>
      </c>
      <c r="Q9" s="1590"/>
      <c r="R9" s="1590"/>
      <c r="S9" s="1592"/>
      <c r="T9" s="1592"/>
      <c r="U9" s="1592"/>
      <c r="V9" s="1592"/>
      <c r="W9" s="1594"/>
      <c r="X9" s="1590"/>
      <c r="Y9" s="1590"/>
      <c r="Z9" s="1593"/>
    </row>
    <row r="10" spans="1:27" s="1183" customFormat="1" ht="104.45" customHeight="1">
      <c r="A10" s="1590"/>
      <c r="B10" s="1590"/>
      <c r="C10" s="1590"/>
      <c r="D10" s="1590"/>
      <c r="E10" s="1591"/>
      <c r="F10" s="1590"/>
      <c r="G10" s="1590"/>
      <c r="H10" s="1590"/>
      <c r="I10" s="1592"/>
      <c r="J10" s="1592"/>
      <c r="K10" s="1592"/>
      <c r="L10" s="1592"/>
      <c r="M10" s="1590"/>
      <c r="N10" s="1592"/>
      <c r="O10" s="1592"/>
      <c r="P10" s="1592"/>
      <c r="Q10" s="1590"/>
      <c r="R10" s="1590"/>
      <c r="S10" s="1592"/>
      <c r="T10" s="1592"/>
      <c r="U10" s="1592"/>
      <c r="V10" s="1592"/>
      <c r="W10" s="1594"/>
      <c r="X10" s="1590"/>
      <c r="Y10" s="1590"/>
      <c r="Z10" s="1593"/>
    </row>
    <row r="11" spans="1:27" s="1194" customFormat="1">
      <c r="A11" s="1192" t="s">
        <v>167</v>
      </c>
      <c r="B11" s="1192"/>
      <c r="C11" s="1192" t="s">
        <v>168</v>
      </c>
      <c r="D11" s="1192" t="s">
        <v>169</v>
      </c>
      <c r="E11" s="1192" t="s">
        <v>170</v>
      </c>
      <c r="F11" s="1192" t="s">
        <v>171</v>
      </c>
      <c r="G11" s="1192" t="s">
        <v>172</v>
      </c>
      <c r="H11" s="1192" t="s">
        <v>173</v>
      </c>
      <c r="I11" s="1192" t="s">
        <v>174</v>
      </c>
      <c r="J11" s="1192" t="s">
        <v>174</v>
      </c>
      <c r="K11" s="1192">
        <v>10</v>
      </c>
      <c r="L11" s="1192">
        <v>11</v>
      </c>
      <c r="M11" s="1192">
        <v>12</v>
      </c>
      <c r="N11" s="1192">
        <v>13</v>
      </c>
      <c r="O11" s="1192">
        <v>13</v>
      </c>
      <c r="P11" s="1192">
        <v>14</v>
      </c>
      <c r="Q11" s="1192">
        <v>15</v>
      </c>
      <c r="R11" s="1192">
        <v>16</v>
      </c>
      <c r="S11" s="1192">
        <v>17</v>
      </c>
      <c r="T11" s="1192">
        <v>18</v>
      </c>
      <c r="U11" s="1192">
        <v>19</v>
      </c>
      <c r="V11" s="1192">
        <v>19</v>
      </c>
      <c r="W11" s="1192">
        <v>20</v>
      </c>
      <c r="X11" s="1192">
        <v>18</v>
      </c>
      <c r="Y11" s="1192"/>
      <c r="Z11" s="1193"/>
    </row>
    <row r="12" spans="1:27" s="1198" customFormat="1">
      <c r="A12" s="1195"/>
      <c r="B12" s="1195" t="s">
        <v>153</v>
      </c>
      <c r="C12" s="1195"/>
      <c r="D12" s="1195"/>
      <c r="E12" s="1195"/>
      <c r="F12" s="1196">
        <f>F13+F33+F70+F86+F54</f>
        <v>110610</v>
      </c>
      <c r="G12" s="1196">
        <f t="shared" ref="G12:X12" si="0">G13+G33+G70+G86+G54</f>
        <v>88733.4</v>
      </c>
      <c r="H12" s="1196">
        <f t="shared" si="0"/>
        <v>53053</v>
      </c>
      <c r="I12" s="1196">
        <f t="shared" si="0"/>
        <v>1000</v>
      </c>
      <c r="J12" s="1196">
        <f t="shared" si="0"/>
        <v>1950</v>
      </c>
      <c r="K12" s="1196">
        <f t="shared" si="0"/>
        <v>37006.5</v>
      </c>
      <c r="L12" s="1196">
        <f t="shared" si="0"/>
        <v>15688.5</v>
      </c>
      <c r="M12" s="1196">
        <f t="shared" si="0"/>
        <v>38408.400000000001</v>
      </c>
      <c r="N12" s="1196">
        <f t="shared" si="0"/>
        <v>3107.4</v>
      </c>
      <c r="O12" s="1196">
        <f t="shared" si="0"/>
        <v>381</v>
      </c>
      <c r="P12" s="1196">
        <f t="shared" si="0"/>
        <v>34920</v>
      </c>
      <c r="Q12" s="1196">
        <f t="shared" si="0"/>
        <v>1650</v>
      </c>
      <c r="R12" s="1196">
        <f t="shared" si="0"/>
        <v>10018</v>
      </c>
      <c r="S12" s="1196">
        <f t="shared" si="0"/>
        <v>9418</v>
      </c>
      <c r="T12" s="1196">
        <f t="shared" si="0"/>
        <v>0</v>
      </c>
      <c r="U12" s="1196">
        <f t="shared" si="0"/>
        <v>0</v>
      </c>
      <c r="V12" s="1196">
        <f t="shared" si="0"/>
        <v>600</v>
      </c>
      <c r="W12" s="1196">
        <f t="shared" si="0"/>
        <v>0</v>
      </c>
      <c r="X12" s="1196">
        <f t="shared" si="0"/>
        <v>9932.6</v>
      </c>
      <c r="Y12" s="1195"/>
      <c r="Z12" s="1197"/>
    </row>
    <row r="13" spans="1:27" s="1204" customFormat="1">
      <c r="A13" s="1189" t="s">
        <v>66</v>
      </c>
      <c r="B13" s="1199" t="s">
        <v>855</v>
      </c>
      <c r="C13" s="1199" t="s">
        <v>1094</v>
      </c>
      <c r="D13" s="1189" t="s">
        <v>103</v>
      </c>
      <c r="E13" s="1200"/>
      <c r="F13" s="1196">
        <f>+F14+F15+F18+F21+F26+F28+F30</f>
        <v>34665</v>
      </c>
      <c r="G13" s="1196">
        <f t="shared" ref="G13:X13" si="1">+G14+G15+G18+G21+G26+G28+G30</f>
        <v>23385</v>
      </c>
      <c r="H13" s="1196">
        <f t="shared" si="1"/>
        <v>14671</v>
      </c>
      <c r="I13" s="1196">
        <f t="shared" si="1"/>
        <v>200</v>
      </c>
      <c r="J13" s="1196">
        <f t="shared" si="1"/>
        <v>600</v>
      </c>
      <c r="K13" s="1196">
        <f t="shared" si="1"/>
        <v>10224</v>
      </c>
      <c r="L13" s="1196">
        <f t="shared" si="1"/>
        <v>3647</v>
      </c>
      <c r="M13" s="1196">
        <f t="shared" si="1"/>
        <v>8714</v>
      </c>
      <c r="N13" s="1196">
        <f t="shared" si="1"/>
        <v>1586</v>
      </c>
      <c r="O13" s="1196">
        <f t="shared" si="1"/>
        <v>0</v>
      </c>
      <c r="P13" s="1196">
        <f t="shared" si="1"/>
        <v>7128</v>
      </c>
      <c r="Q13" s="1196">
        <f t="shared" si="1"/>
        <v>1170</v>
      </c>
      <c r="R13" s="1196">
        <f t="shared" si="1"/>
        <v>5001</v>
      </c>
      <c r="S13" s="1196">
        <f t="shared" si="1"/>
        <v>4401</v>
      </c>
      <c r="T13" s="1196">
        <f t="shared" si="1"/>
        <v>0</v>
      </c>
      <c r="U13" s="1196">
        <f t="shared" si="1"/>
        <v>0</v>
      </c>
      <c r="V13" s="1196">
        <f t="shared" si="1"/>
        <v>600</v>
      </c>
      <c r="W13" s="1196">
        <f t="shared" si="1"/>
        <v>0</v>
      </c>
      <c r="X13" s="1196">
        <f t="shared" si="1"/>
        <v>5409</v>
      </c>
      <c r="Y13" s="1201"/>
      <c r="Z13" s="1202"/>
      <c r="AA13" s="1203"/>
    </row>
    <row r="14" spans="1:27" s="1214" customFormat="1">
      <c r="A14" s="1205">
        <v>1</v>
      </c>
      <c r="B14" s="1206" t="s">
        <v>369</v>
      </c>
      <c r="C14" s="1206" t="s">
        <v>369</v>
      </c>
      <c r="D14" s="1205" t="s">
        <v>71</v>
      </c>
      <c r="E14" s="1207">
        <v>1</v>
      </c>
      <c r="F14" s="1208">
        <v>129</v>
      </c>
      <c r="G14" s="1209">
        <f>+H14+M14</f>
        <v>129</v>
      </c>
      <c r="H14" s="1210">
        <f>+SUM(I14:L14)</f>
        <v>129</v>
      </c>
      <c r="I14" s="1208"/>
      <c r="J14" s="1208"/>
      <c r="K14" s="1208"/>
      <c r="L14" s="1208">
        <v>129</v>
      </c>
      <c r="M14" s="1208">
        <f>+N14+O14+P14</f>
        <v>0</v>
      </c>
      <c r="N14" s="1208"/>
      <c r="O14" s="1208"/>
      <c r="P14" s="1208"/>
      <c r="Q14" s="1208"/>
      <c r="R14" s="1208"/>
      <c r="S14" s="1208"/>
      <c r="T14" s="1208"/>
      <c r="U14" s="1208"/>
      <c r="V14" s="1208"/>
      <c r="W14" s="1208"/>
      <c r="X14" s="1208"/>
      <c r="Y14" s="1211"/>
      <c r="Z14" s="1212"/>
      <c r="AA14" s="1213"/>
    </row>
    <row r="15" spans="1:27" s="1219" customFormat="1">
      <c r="A15" s="1190">
        <v>2</v>
      </c>
      <c r="B15" s="1215" t="s">
        <v>29</v>
      </c>
      <c r="C15" s="1215" t="s">
        <v>29</v>
      </c>
      <c r="D15" s="1190"/>
      <c r="E15" s="1216"/>
      <c r="F15" s="1217">
        <f>+F16+F17</f>
        <v>6515</v>
      </c>
      <c r="G15" s="1217">
        <f t="shared" ref="G15:X15" si="2">+G16+G17</f>
        <v>4136</v>
      </c>
      <c r="H15" s="1217">
        <f>+H16+H17</f>
        <v>2550</v>
      </c>
      <c r="I15" s="1217">
        <f t="shared" si="2"/>
        <v>0</v>
      </c>
      <c r="J15" s="1217">
        <f t="shared" si="2"/>
        <v>0</v>
      </c>
      <c r="K15" s="1217">
        <f t="shared" si="2"/>
        <v>2040</v>
      </c>
      <c r="L15" s="1217">
        <f t="shared" si="2"/>
        <v>510</v>
      </c>
      <c r="M15" s="1217">
        <f t="shared" si="2"/>
        <v>1586</v>
      </c>
      <c r="N15" s="1217">
        <f t="shared" si="2"/>
        <v>1586</v>
      </c>
      <c r="O15" s="1217">
        <f t="shared" si="2"/>
        <v>0</v>
      </c>
      <c r="P15" s="1217">
        <f t="shared" si="2"/>
        <v>0</v>
      </c>
      <c r="Q15" s="1217">
        <f t="shared" si="2"/>
        <v>0</v>
      </c>
      <c r="R15" s="1217">
        <f t="shared" si="2"/>
        <v>0</v>
      </c>
      <c r="S15" s="1217">
        <f t="shared" si="2"/>
        <v>0</v>
      </c>
      <c r="T15" s="1217">
        <f t="shared" si="2"/>
        <v>0</v>
      </c>
      <c r="U15" s="1217">
        <f t="shared" si="2"/>
        <v>0</v>
      </c>
      <c r="V15" s="1217">
        <f t="shared" si="2"/>
        <v>0</v>
      </c>
      <c r="W15" s="1217">
        <f t="shared" si="2"/>
        <v>0</v>
      </c>
      <c r="X15" s="1217">
        <f t="shared" si="2"/>
        <v>2378.9999999999995</v>
      </c>
      <c r="Y15" s="1218"/>
      <c r="Z15" s="1202"/>
      <c r="AA15" s="1203"/>
    </row>
    <row r="16" spans="1:27" s="1226" customFormat="1">
      <c r="A16" s="1220" t="s">
        <v>81</v>
      </c>
      <c r="B16" s="1221" t="s">
        <v>710</v>
      </c>
      <c r="C16" s="1221" t="s">
        <v>1095</v>
      </c>
      <c r="D16" s="1221" t="s">
        <v>69</v>
      </c>
      <c r="E16" s="1222">
        <v>1.7</v>
      </c>
      <c r="F16" s="1223">
        <f>+E16*1500</f>
        <v>2550</v>
      </c>
      <c r="G16" s="1223">
        <f>+H16+M16</f>
        <v>2550</v>
      </c>
      <c r="H16" s="1223">
        <f>+SUM(I16:L16)</f>
        <v>2550</v>
      </c>
      <c r="I16" s="1223"/>
      <c r="J16" s="1223"/>
      <c r="K16" s="1223">
        <f>+F16*0.8</f>
        <v>2040</v>
      </c>
      <c r="L16" s="1223">
        <f>+F16-K16</f>
        <v>510</v>
      </c>
      <c r="M16" s="1223">
        <f>+N16+O16+P16</f>
        <v>0</v>
      </c>
      <c r="N16" s="1223"/>
      <c r="O16" s="1223"/>
      <c r="P16" s="1223"/>
      <c r="Q16" s="1223"/>
      <c r="R16" s="1223"/>
      <c r="S16" s="1223"/>
      <c r="T16" s="1223"/>
      <c r="U16" s="1223"/>
      <c r="V16" s="1223"/>
      <c r="W16" s="1223"/>
      <c r="X16" s="1223"/>
      <c r="Y16" s="1221"/>
      <c r="Z16" s="1224"/>
      <c r="AA16" s="1225"/>
    </row>
    <row r="17" spans="1:28" s="1214" customFormat="1">
      <c r="A17" s="1208" t="s">
        <v>81</v>
      </c>
      <c r="B17" s="1206" t="s">
        <v>182</v>
      </c>
      <c r="C17" s="1206" t="s">
        <v>182</v>
      </c>
      <c r="D17" s="1205" t="s">
        <v>69</v>
      </c>
      <c r="E17" s="1207">
        <v>6.1</v>
      </c>
      <c r="F17" s="1210">
        <f>+E17*650</f>
        <v>3964.9999999999995</v>
      </c>
      <c r="G17" s="1210">
        <f>+H17+M17</f>
        <v>1586</v>
      </c>
      <c r="H17" s="1210">
        <f>+J17+K17+L17</f>
        <v>0</v>
      </c>
      <c r="I17" s="1210"/>
      <c r="J17" s="1210"/>
      <c r="K17" s="1210"/>
      <c r="L17" s="1210"/>
      <c r="M17" s="1210">
        <f>+N17+O17+P17</f>
        <v>1586</v>
      </c>
      <c r="N17" s="1210">
        <f>+F17*0.4</f>
        <v>1586</v>
      </c>
      <c r="O17" s="1210"/>
      <c r="P17" s="1210"/>
      <c r="Q17" s="1210"/>
      <c r="R17" s="1210"/>
      <c r="S17" s="1210"/>
      <c r="T17" s="1210"/>
      <c r="U17" s="1210"/>
      <c r="V17" s="1210"/>
      <c r="W17" s="1210"/>
      <c r="X17" s="1210">
        <f>+F17-N17</f>
        <v>2378.9999999999995</v>
      </c>
      <c r="Y17" s="1227"/>
      <c r="Z17" s="1212"/>
      <c r="AA17" s="1213"/>
      <c r="AB17" s="1228"/>
    </row>
    <row r="18" spans="1:28" s="1219" customFormat="1">
      <c r="A18" s="1190">
        <v>3</v>
      </c>
      <c r="B18" s="1215" t="s">
        <v>75</v>
      </c>
      <c r="C18" s="1215" t="s">
        <v>75</v>
      </c>
      <c r="D18" s="1190"/>
      <c r="E18" s="1216"/>
      <c r="F18" s="1217">
        <f>+F19+F20</f>
        <v>14720</v>
      </c>
      <c r="G18" s="1217">
        <f t="shared" ref="G18:X18" si="3">+G19+G20</f>
        <v>14720</v>
      </c>
      <c r="H18" s="1217">
        <f t="shared" si="3"/>
        <v>8832</v>
      </c>
      <c r="I18" s="1217">
        <f t="shared" si="3"/>
        <v>0</v>
      </c>
      <c r="J18" s="1217">
        <f t="shared" si="3"/>
        <v>0</v>
      </c>
      <c r="K18" s="1217">
        <f t="shared" si="3"/>
        <v>6624</v>
      </c>
      <c r="L18" s="1217">
        <f t="shared" si="3"/>
        <v>2208</v>
      </c>
      <c r="M18" s="1217">
        <f t="shared" si="3"/>
        <v>5888</v>
      </c>
      <c r="N18" s="1217">
        <f t="shared" si="3"/>
        <v>0</v>
      </c>
      <c r="O18" s="1217">
        <f t="shared" si="3"/>
        <v>0</v>
      </c>
      <c r="P18" s="1217">
        <f t="shared" si="3"/>
        <v>5888</v>
      </c>
      <c r="Q18" s="1217">
        <f t="shared" si="3"/>
        <v>0</v>
      </c>
      <c r="R18" s="1217">
        <f t="shared" si="3"/>
        <v>0</v>
      </c>
      <c r="S18" s="1217">
        <f t="shared" si="3"/>
        <v>0</v>
      </c>
      <c r="T18" s="1217">
        <f t="shared" si="3"/>
        <v>0</v>
      </c>
      <c r="U18" s="1217">
        <f t="shared" si="3"/>
        <v>0</v>
      </c>
      <c r="V18" s="1217">
        <f t="shared" si="3"/>
        <v>0</v>
      </c>
      <c r="W18" s="1217">
        <f t="shared" si="3"/>
        <v>0</v>
      </c>
      <c r="X18" s="1217">
        <f t="shared" si="3"/>
        <v>0</v>
      </c>
      <c r="Y18" s="1218"/>
      <c r="Z18" s="1202"/>
      <c r="AA18" s="1203"/>
    </row>
    <row r="19" spans="1:28" s="1266" customFormat="1" ht="54.6" customHeight="1">
      <c r="A19" s="1256" t="s">
        <v>81</v>
      </c>
      <c r="B19" s="1257" t="s">
        <v>1096</v>
      </c>
      <c r="C19" s="1258"/>
      <c r="D19" s="1259" t="s">
        <v>71</v>
      </c>
      <c r="E19" s="1260">
        <v>1</v>
      </c>
      <c r="F19" s="1261">
        <f>+(4*53+6*65+20*3+24+80+20+40+24+60)*6+900</f>
        <v>6360</v>
      </c>
      <c r="G19" s="1262">
        <f>+H19+M19</f>
        <v>6360</v>
      </c>
      <c r="H19" s="1262">
        <f>+SUM(I19:L19)</f>
        <v>3816</v>
      </c>
      <c r="I19" s="1262"/>
      <c r="J19" s="1262"/>
      <c r="K19" s="1262">
        <f>+F19*0.45</f>
        <v>2862</v>
      </c>
      <c r="L19" s="1262">
        <f>+F19-K19-P19</f>
        <v>954</v>
      </c>
      <c r="M19" s="1262">
        <f>+N19+O19+P19</f>
        <v>2544</v>
      </c>
      <c r="N19" s="1262"/>
      <c r="O19" s="1262"/>
      <c r="P19" s="1262">
        <f>+F19*0.4</f>
        <v>2544</v>
      </c>
      <c r="Q19" s="1262"/>
      <c r="R19" s="1262"/>
      <c r="S19" s="1262"/>
      <c r="T19" s="1262"/>
      <c r="U19" s="1262"/>
      <c r="V19" s="1262"/>
      <c r="W19" s="1262"/>
      <c r="X19" s="1262"/>
      <c r="Y19" s="1263"/>
      <c r="Z19" s="1264"/>
      <c r="AA19" s="1265"/>
    </row>
    <row r="20" spans="1:28" s="1266" customFormat="1" ht="51.6" customHeight="1">
      <c r="A20" s="1256" t="s">
        <v>81</v>
      </c>
      <c r="B20" s="1257" t="s">
        <v>1097</v>
      </c>
      <c r="C20" s="1258"/>
      <c r="D20" s="1259" t="s">
        <v>71</v>
      </c>
      <c r="E20" s="1260">
        <v>1</v>
      </c>
      <c r="F20" s="1261">
        <f>9*90*6+3500</f>
        <v>8360</v>
      </c>
      <c r="G20" s="1262">
        <f>+H20+M20</f>
        <v>8360</v>
      </c>
      <c r="H20" s="1262">
        <f>+SUM(I20:L20)</f>
        <v>5016</v>
      </c>
      <c r="I20" s="1262"/>
      <c r="J20" s="1262"/>
      <c r="K20" s="1262">
        <f>+F20*0.45</f>
        <v>3762</v>
      </c>
      <c r="L20" s="1262">
        <f>+F20-K20-P20</f>
        <v>1254</v>
      </c>
      <c r="M20" s="1262">
        <f>+N20+O20+P20</f>
        <v>3344</v>
      </c>
      <c r="N20" s="1262"/>
      <c r="O20" s="1262"/>
      <c r="P20" s="1262">
        <f>+F20*0.4</f>
        <v>3344</v>
      </c>
      <c r="Q20" s="1262"/>
      <c r="R20" s="1262"/>
      <c r="S20" s="1262"/>
      <c r="T20" s="1262"/>
      <c r="U20" s="1262"/>
      <c r="V20" s="1262"/>
      <c r="W20" s="1262"/>
      <c r="X20" s="1262"/>
      <c r="Y20" s="1263"/>
      <c r="Z20" s="1264"/>
      <c r="AA20" s="1265"/>
    </row>
    <row r="21" spans="1:28" s="1219" customFormat="1">
      <c r="A21" s="1190">
        <v>4</v>
      </c>
      <c r="B21" s="1215" t="s">
        <v>36</v>
      </c>
      <c r="C21" s="1215" t="s">
        <v>36</v>
      </c>
      <c r="D21" s="1190" t="s">
        <v>103</v>
      </c>
      <c r="E21" s="1216"/>
      <c r="F21" s="1231">
        <f>+F22+F23+F24+F25</f>
        <v>4600</v>
      </c>
      <c r="G21" s="1231">
        <f t="shared" ref="G21:X21" si="4">+G22+G23+G24+G25</f>
        <v>4000</v>
      </c>
      <c r="H21" s="1231">
        <f t="shared" si="4"/>
        <v>2960</v>
      </c>
      <c r="I21" s="1231">
        <f t="shared" si="4"/>
        <v>0</v>
      </c>
      <c r="J21" s="1231">
        <f t="shared" si="4"/>
        <v>600</v>
      </c>
      <c r="K21" s="1231">
        <f t="shared" si="4"/>
        <v>1560</v>
      </c>
      <c r="L21" s="1231">
        <f t="shared" si="4"/>
        <v>800</v>
      </c>
      <c r="M21" s="1231">
        <f t="shared" si="4"/>
        <v>1040</v>
      </c>
      <c r="N21" s="1231">
        <f t="shared" si="4"/>
        <v>0</v>
      </c>
      <c r="O21" s="1231">
        <f t="shared" si="4"/>
        <v>0</v>
      </c>
      <c r="P21" s="1231">
        <f t="shared" si="4"/>
        <v>1040</v>
      </c>
      <c r="Q21" s="1231">
        <f t="shared" si="4"/>
        <v>0</v>
      </c>
      <c r="R21" s="1231">
        <f t="shared" si="4"/>
        <v>600</v>
      </c>
      <c r="S21" s="1231">
        <f t="shared" si="4"/>
        <v>0</v>
      </c>
      <c r="T21" s="1231">
        <f t="shared" si="4"/>
        <v>0</v>
      </c>
      <c r="U21" s="1231">
        <f t="shared" si="4"/>
        <v>0</v>
      </c>
      <c r="V21" s="1231">
        <f t="shared" si="4"/>
        <v>600</v>
      </c>
      <c r="W21" s="1231">
        <f t="shared" si="4"/>
        <v>0</v>
      </c>
      <c r="X21" s="1231">
        <f t="shared" si="4"/>
        <v>300</v>
      </c>
      <c r="Y21" s="1231"/>
      <c r="Z21" s="1202"/>
      <c r="AA21" s="1203"/>
    </row>
    <row r="22" spans="1:28" s="1214" customFormat="1" ht="25.5">
      <c r="A22" s="1208" t="s">
        <v>81</v>
      </c>
      <c r="B22" s="1206" t="s">
        <v>1098</v>
      </c>
      <c r="C22" s="1206" t="s">
        <v>1099</v>
      </c>
      <c r="D22" s="1205" t="s">
        <v>71</v>
      </c>
      <c r="E22" s="1222">
        <v>1</v>
      </c>
      <c r="F22" s="1240">
        <v>2600</v>
      </c>
      <c r="G22" s="1210">
        <f>+H22+M22</f>
        <v>2600</v>
      </c>
      <c r="H22" s="1210">
        <f>+SUM(I22:L22)</f>
        <v>1560</v>
      </c>
      <c r="I22" s="1210"/>
      <c r="J22" s="1210"/>
      <c r="K22" s="1210">
        <f>+F22*0.6</f>
        <v>1560</v>
      </c>
      <c r="L22" s="1210"/>
      <c r="M22" s="1210">
        <f>+N22+O22+P22</f>
        <v>1040</v>
      </c>
      <c r="N22" s="1210"/>
      <c r="O22" s="1210"/>
      <c r="P22" s="1210">
        <f>+F22-K22</f>
        <v>1040</v>
      </c>
      <c r="Q22" s="1240">
        <f>R22+S22</f>
        <v>0</v>
      </c>
      <c r="R22" s="1240"/>
      <c r="S22" s="1240"/>
      <c r="T22" s="1240"/>
      <c r="U22" s="1240"/>
      <c r="V22" s="1240"/>
      <c r="W22" s="1240"/>
      <c r="X22" s="1210"/>
      <c r="Y22" s="1275"/>
      <c r="Z22" s="1212"/>
      <c r="AA22" s="1213"/>
    </row>
    <row r="23" spans="1:28" s="1214" customFormat="1" ht="18.600000000000001" customHeight="1">
      <c r="A23" s="1208" t="s">
        <v>81</v>
      </c>
      <c r="B23" s="1206" t="s">
        <v>1100</v>
      </c>
      <c r="C23" s="1206" t="s">
        <v>715</v>
      </c>
      <c r="D23" s="1205" t="s">
        <v>71</v>
      </c>
      <c r="E23" s="1207">
        <v>1</v>
      </c>
      <c r="F23" s="1240">
        <v>200</v>
      </c>
      <c r="G23" s="1210">
        <f>+H23+M23</f>
        <v>200</v>
      </c>
      <c r="H23" s="1210">
        <f>+SUM(I23:L23)</f>
        <v>200</v>
      </c>
      <c r="I23" s="1210"/>
      <c r="J23" s="1210"/>
      <c r="K23" s="1210"/>
      <c r="L23" s="1210">
        <v>200</v>
      </c>
      <c r="M23" s="1210"/>
      <c r="N23" s="1210"/>
      <c r="O23" s="1210"/>
      <c r="P23" s="1210"/>
      <c r="Q23" s="1210"/>
      <c r="R23" s="1210"/>
      <c r="S23" s="1210"/>
      <c r="T23" s="1210"/>
      <c r="U23" s="1210"/>
      <c r="V23" s="1210"/>
      <c r="W23" s="1210"/>
      <c r="X23" s="1210"/>
      <c r="Y23" s="1277"/>
      <c r="Z23" s="1212"/>
      <c r="AA23" s="1213"/>
    </row>
    <row r="24" spans="1:28" s="1214" customFormat="1" ht="25.5">
      <c r="A24" s="1208" t="s">
        <v>81</v>
      </c>
      <c r="B24" s="1206" t="s">
        <v>1101</v>
      </c>
      <c r="C24" s="1206" t="s">
        <v>1102</v>
      </c>
      <c r="D24" s="1205" t="s">
        <v>71</v>
      </c>
      <c r="E24" s="1207">
        <v>3</v>
      </c>
      <c r="F24" s="1210">
        <f>+E24*400</f>
        <v>1200</v>
      </c>
      <c r="G24" s="1210">
        <f>+H24+M24</f>
        <v>600</v>
      </c>
      <c r="H24" s="1210">
        <f>+SUM(I24:L24)</f>
        <v>600</v>
      </c>
      <c r="I24" s="1210"/>
      <c r="J24" s="1210">
        <v>600</v>
      </c>
      <c r="K24" s="1210"/>
      <c r="L24" s="1210"/>
      <c r="M24" s="1210">
        <f t="shared" ref="M24:M29" si="5">+N24+O24+P24</f>
        <v>0</v>
      </c>
      <c r="N24" s="1210"/>
      <c r="O24" s="1210"/>
      <c r="P24" s="1210"/>
      <c r="Q24" s="1210"/>
      <c r="R24" s="1210">
        <f>S24+V24</f>
        <v>600</v>
      </c>
      <c r="S24" s="1210"/>
      <c r="T24" s="1210"/>
      <c r="U24" s="1210"/>
      <c r="V24" s="1210">
        <v>600</v>
      </c>
      <c r="W24" s="1210"/>
      <c r="X24" s="1210">
        <v>300</v>
      </c>
      <c r="Y24" s="1277"/>
      <c r="Z24" s="1212"/>
      <c r="AA24" s="1213"/>
    </row>
    <row r="25" spans="1:28" s="1219" customFormat="1" ht="25.5">
      <c r="A25" s="1229" t="s">
        <v>81</v>
      </c>
      <c r="B25" s="1215" t="s">
        <v>1103</v>
      </c>
      <c r="C25" s="1215" t="s">
        <v>1103</v>
      </c>
      <c r="D25" s="1190" t="s">
        <v>76</v>
      </c>
      <c r="E25" s="1230">
        <v>15</v>
      </c>
      <c r="F25" s="1231">
        <f>+E25*40</f>
        <v>600</v>
      </c>
      <c r="G25" s="1231">
        <f>H25+M25</f>
        <v>600</v>
      </c>
      <c r="H25" s="1232">
        <f>+SUM(I25:L25)</f>
        <v>600</v>
      </c>
      <c r="I25" s="1231">
        <f t="shared" ref="I25:I31" si="6">SUM(J25:K25)</f>
        <v>0</v>
      </c>
      <c r="J25" s="1231"/>
      <c r="K25" s="1231"/>
      <c r="L25" s="1231">
        <v>600</v>
      </c>
      <c r="M25" s="1232">
        <f t="shared" si="5"/>
        <v>0</v>
      </c>
      <c r="N25" s="1231"/>
      <c r="O25" s="1231"/>
      <c r="P25" s="1231"/>
      <c r="Q25" s="1231">
        <f>R25+S25</f>
        <v>0</v>
      </c>
      <c r="R25" s="1231"/>
      <c r="S25" s="1231"/>
      <c r="T25" s="1231"/>
      <c r="U25" s="1231"/>
      <c r="V25" s="1231"/>
      <c r="W25" s="1231"/>
      <c r="X25" s="1232"/>
      <c r="Y25" s="1218"/>
      <c r="Z25" s="1202"/>
      <c r="AA25" s="1203"/>
    </row>
    <row r="26" spans="1:28" s="1219" customFormat="1">
      <c r="A26" s="1229">
        <v>5</v>
      </c>
      <c r="B26" s="1215" t="s">
        <v>39</v>
      </c>
      <c r="C26" s="1215" t="s">
        <v>39</v>
      </c>
      <c r="D26" s="1190"/>
      <c r="E26" s="1230"/>
      <c r="F26" s="1233">
        <f>+F27</f>
        <v>3900</v>
      </c>
      <c r="G26" s="1233">
        <f t="shared" ref="G26:X26" si="7">+G27</f>
        <v>0</v>
      </c>
      <c r="H26" s="1233">
        <f t="shared" si="7"/>
        <v>0</v>
      </c>
      <c r="I26" s="1233">
        <f t="shared" si="7"/>
        <v>0</v>
      </c>
      <c r="J26" s="1233">
        <f t="shared" si="7"/>
        <v>0</v>
      </c>
      <c r="K26" s="1233">
        <f t="shared" si="7"/>
        <v>0</v>
      </c>
      <c r="L26" s="1233">
        <f t="shared" si="7"/>
        <v>0</v>
      </c>
      <c r="M26" s="1233">
        <f t="shared" si="7"/>
        <v>0</v>
      </c>
      <c r="N26" s="1233">
        <f t="shared" si="7"/>
        <v>0</v>
      </c>
      <c r="O26" s="1233">
        <f t="shared" si="7"/>
        <v>0</v>
      </c>
      <c r="P26" s="1233">
        <f t="shared" si="7"/>
        <v>0</v>
      </c>
      <c r="Q26" s="1233">
        <f t="shared" si="7"/>
        <v>1170</v>
      </c>
      <c r="R26" s="1233">
        <f t="shared" si="7"/>
        <v>0</v>
      </c>
      <c r="S26" s="1233">
        <f t="shared" si="7"/>
        <v>0</v>
      </c>
      <c r="T26" s="1233">
        <f t="shared" si="7"/>
        <v>0</v>
      </c>
      <c r="U26" s="1233">
        <f t="shared" si="7"/>
        <v>0</v>
      </c>
      <c r="V26" s="1233">
        <f t="shared" si="7"/>
        <v>0</v>
      </c>
      <c r="W26" s="1233">
        <f t="shared" si="7"/>
        <v>0</v>
      </c>
      <c r="X26" s="1233">
        <f t="shared" si="7"/>
        <v>2730</v>
      </c>
      <c r="Y26" s="1218"/>
      <c r="Z26" s="1202"/>
      <c r="AA26" s="1203"/>
    </row>
    <row r="27" spans="1:28" s="1266" customFormat="1" ht="25.5">
      <c r="A27" s="1256" t="s">
        <v>81</v>
      </c>
      <c r="B27" s="1258" t="s">
        <v>718</v>
      </c>
      <c r="C27" s="1258" t="s">
        <v>718</v>
      </c>
      <c r="D27" s="1259" t="s">
        <v>76</v>
      </c>
      <c r="E27" s="1278">
        <v>39</v>
      </c>
      <c r="F27" s="1262">
        <f>+E27*100</f>
        <v>3900</v>
      </c>
      <c r="G27" s="1261">
        <f>H27+M27</f>
        <v>0</v>
      </c>
      <c r="H27" s="1262">
        <f>+SUM(I27:L27)</f>
        <v>0</v>
      </c>
      <c r="I27" s="1262"/>
      <c r="J27" s="1262"/>
      <c r="K27" s="1262"/>
      <c r="L27" s="1262"/>
      <c r="M27" s="1262">
        <f t="shared" si="5"/>
        <v>0</v>
      </c>
      <c r="N27" s="1262"/>
      <c r="O27" s="1262"/>
      <c r="P27" s="1262"/>
      <c r="Q27" s="1262">
        <f>+E27*30</f>
        <v>1170</v>
      </c>
      <c r="R27" s="1262"/>
      <c r="S27" s="1262"/>
      <c r="T27" s="1262"/>
      <c r="U27" s="1262"/>
      <c r="V27" s="1262"/>
      <c r="W27" s="1262"/>
      <c r="X27" s="1262">
        <f>+F27-Q27</f>
        <v>2730</v>
      </c>
      <c r="Y27" s="1262"/>
      <c r="Z27" s="1264"/>
      <c r="AA27" s="1265"/>
    </row>
    <row r="28" spans="1:28" s="1219" customFormat="1">
      <c r="A28" s="1229">
        <v>6</v>
      </c>
      <c r="B28" s="1215" t="s">
        <v>83</v>
      </c>
      <c r="C28" s="1215" t="s">
        <v>83</v>
      </c>
      <c r="D28" s="1190"/>
      <c r="E28" s="1216"/>
      <c r="F28" s="1217">
        <f>+F29</f>
        <v>4401</v>
      </c>
      <c r="G28" s="1217">
        <f t="shared" ref="G28:X28" si="8">+G29</f>
        <v>0</v>
      </c>
      <c r="H28" s="1217">
        <f t="shared" si="8"/>
        <v>0</v>
      </c>
      <c r="I28" s="1217">
        <f t="shared" si="8"/>
        <v>0</v>
      </c>
      <c r="J28" s="1217">
        <f t="shared" si="8"/>
        <v>0</v>
      </c>
      <c r="K28" s="1217">
        <f t="shared" si="8"/>
        <v>0</v>
      </c>
      <c r="L28" s="1217">
        <f t="shared" si="8"/>
        <v>0</v>
      </c>
      <c r="M28" s="1232">
        <f t="shared" si="5"/>
        <v>0</v>
      </c>
      <c r="N28" s="1217">
        <f t="shared" si="8"/>
        <v>0</v>
      </c>
      <c r="O28" s="1217">
        <f t="shared" si="8"/>
        <v>0</v>
      </c>
      <c r="P28" s="1217">
        <f t="shared" si="8"/>
        <v>0</v>
      </c>
      <c r="Q28" s="1217">
        <f t="shared" si="8"/>
        <v>0</v>
      </c>
      <c r="R28" s="1217">
        <f>+R29</f>
        <v>4401</v>
      </c>
      <c r="S28" s="1217">
        <f t="shared" si="8"/>
        <v>4401</v>
      </c>
      <c r="T28" s="1217">
        <f t="shared" si="8"/>
        <v>0</v>
      </c>
      <c r="U28" s="1217">
        <f t="shared" si="8"/>
        <v>0</v>
      </c>
      <c r="V28" s="1217">
        <f t="shared" si="8"/>
        <v>0</v>
      </c>
      <c r="W28" s="1217">
        <f t="shared" si="8"/>
        <v>0</v>
      </c>
      <c r="X28" s="1217">
        <f t="shared" si="8"/>
        <v>0</v>
      </c>
      <c r="Y28" s="1217"/>
      <c r="Z28" s="1202"/>
      <c r="AA28" s="1203"/>
    </row>
    <row r="29" spans="1:28" s="1266" customFormat="1">
      <c r="A29" s="1256" t="s">
        <v>81</v>
      </c>
      <c r="B29" s="1258" t="s">
        <v>1104</v>
      </c>
      <c r="C29" s="1258" t="s">
        <v>1104</v>
      </c>
      <c r="D29" s="1259" t="s">
        <v>71</v>
      </c>
      <c r="E29" s="1269">
        <v>1</v>
      </c>
      <c r="F29" s="1261">
        <v>4401</v>
      </c>
      <c r="G29" s="1261">
        <f>H29+M29</f>
        <v>0</v>
      </c>
      <c r="H29" s="1262">
        <f>+SUM(I29:L29)</f>
        <v>0</v>
      </c>
      <c r="I29" s="1261">
        <f t="shared" si="6"/>
        <v>0</v>
      </c>
      <c r="J29" s="1261"/>
      <c r="K29" s="1261"/>
      <c r="L29" s="1261"/>
      <c r="M29" s="1262">
        <f t="shared" si="5"/>
        <v>0</v>
      </c>
      <c r="N29" s="1261"/>
      <c r="O29" s="1261"/>
      <c r="P29" s="1261"/>
      <c r="Q29" s="1261"/>
      <c r="R29" s="1261">
        <f>+S29+T29+U29+V29</f>
        <v>4401</v>
      </c>
      <c r="S29" s="1261">
        <f>+F29</f>
        <v>4401</v>
      </c>
      <c r="T29" s="1261"/>
      <c r="U29" s="1261"/>
      <c r="V29" s="1261"/>
      <c r="W29" s="1261"/>
      <c r="X29" s="1262"/>
      <c r="Y29" s="1268"/>
      <c r="Z29" s="1264"/>
      <c r="AA29" s="1265"/>
    </row>
    <row r="30" spans="1:28" s="1266" customFormat="1">
      <c r="A30" s="1259">
        <v>7</v>
      </c>
      <c r="B30" s="1258" t="s">
        <v>583</v>
      </c>
      <c r="C30" s="1258" t="s">
        <v>583</v>
      </c>
      <c r="D30" s="1259"/>
      <c r="E30" s="1269"/>
      <c r="F30" s="1279">
        <f>+F31+F32</f>
        <v>400</v>
      </c>
      <c r="G30" s="1279">
        <f t="shared" ref="G30:X30" si="9">+G31+G32</f>
        <v>400</v>
      </c>
      <c r="H30" s="1279">
        <f t="shared" si="9"/>
        <v>200</v>
      </c>
      <c r="I30" s="1279">
        <f t="shared" si="9"/>
        <v>200</v>
      </c>
      <c r="J30" s="1279">
        <f t="shared" si="9"/>
        <v>0</v>
      </c>
      <c r="K30" s="1279">
        <f t="shared" si="9"/>
        <v>0</v>
      </c>
      <c r="L30" s="1279">
        <f t="shared" si="9"/>
        <v>0</v>
      </c>
      <c r="M30" s="1279">
        <f t="shared" si="9"/>
        <v>200</v>
      </c>
      <c r="N30" s="1279">
        <f t="shared" si="9"/>
        <v>0</v>
      </c>
      <c r="O30" s="1279">
        <f t="shared" si="9"/>
        <v>0</v>
      </c>
      <c r="P30" s="1279">
        <f t="shared" si="9"/>
        <v>200</v>
      </c>
      <c r="Q30" s="1279">
        <f t="shared" si="9"/>
        <v>0</v>
      </c>
      <c r="R30" s="1279">
        <f t="shared" si="9"/>
        <v>0</v>
      </c>
      <c r="S30" s="1279">
        <f t="shared" si="9"/>
        <v>0</v>
      </c>
      <c r="T30" s="1279">
        <f t="shared" si="9"/>
        <v>0</v>
      </c>
      <c r="U30" s="1279">
        <f t="shared" si="9"/>
        <v>0</v>
      </c>
      <c r="V30" s="1279">
        <f t="shared" si="9"/>
        <v>0</v>
      </c>
      <c r="W30" s="1279">
        <f t="shared" si="9"/>
        <v>0</v>
      </c>
      <c r="X30" s="1279">
        <f t="shared" si="9"/>
        <v>0</v>
      </c>
      <c r="Y30" s="1268"/>
      <c r="Z30" s="1264"/>
      <c r="AA30" s="1265"/>
    </row>
    <row r="31" spans="1:28" s="1266" customFormat="1" ht="38.25">
      <c r="A31" s="1259" t="s">
        <v>81</v>
      </c>
      <c r="B31" s="1258" t="s">
        <v>1105</v>
      </c>
      <c r="C31" s="1258" t="s">
        <v>722</v>
      </c>
      <c r="D31" s="1259" t="s">
        <v>71</v>
      </c>
      <c r="E31" s="1269">
        <v>1</v>
      </c>
      <c r="F31" s="1261">
        <v>200</v>
      </c>
      <c r="G31" s="1261">
        <f>+H31+M31</f>
        <v>200</v>
      </c>
      <c r="H31" s="1261">
        <f>+I31+J31+K31+L31</f>
        <v>0</v>
      </c>
      <c r="I31" s="1261">
        <f t="shared" si="6"/>
        <v>0</v>
      </c>
      <c r="J31" s="1261"/>
      <c r="K31" s="1261"/>
      <c r="L31" s="1261"/>
      <c r="M31" s="1261">
        <f>+N31+O31+P31</f>
        <v>200</v>
      </c>
      <c r="N31" s="1261"/>
      <c r="O31" s="1261"/>
      <c r="P31" s="1261">
        <f>+F31</f>
        <v>200</v>
      </c>
      <c r="Q31" s="1261">
        <f>R31+S31</f>
        <v>0</v>
      </c>
      <c r="R31" s="1261">
        <f>+S31+T31+U31+V31</f>
        <v>0</v>
      </c>
      <c r="S31" s="1261"/>
      <c r="T31" s="1261"/>
      <c r="U31" s="1261"/>
      <c r="V31" s="1261"/>
      <c r="W31" s="1261"/>
      <c r="X31" s="1262"/>
      <c r="Y31" s="1268"/>
      <c r="Z31" s="1264"/>
      <c r="AA31" s="1265"/>
    </row>
    <row r="32" spans="1:28" s="1266" customFormat="1">
      <c r="A32" s="1256"/>
      <c r="B32" s="1258" t="s">
        <v>1106</v>
      </c>
      <c r="C32" s="1258" t="s">
        <v>1106</v>
      </c>
      <c r="D32" s="1259" t="s">
        <v>1107</v>
      </c>
      <c r="E32" s="1269">
        <v>40</v>
      </c>
      <c r="F32" s="1261">
        <f>+E32*5</f>
        <v>200</v>
      </c>
      <c r="G32" s="1261">
        <f>H32+M32</f>
        <v>200</v>
      </c>
      <c r="H32" s="1261">
        <f>I32+L32</f>
        <v>200</v>
      </c>
      <c r="I32" s="1261">
        <f>+F32</f>
        <v>200</v>
      </c>
      <c r="J32" s="1261"/>
      <c r="K32" s="1261"/>
      <c r="L32" s="1261"/>
      <c r="M32" s="1261">
        <f>O32+N32</f>
        <v>0</v>
      </c>
      <c r="N32" s="1261"/>
      <c r="O32" s="1261"/>
      <c r="P32" s="1261"/>
      <c r="Q32" s="1261"/>
      <c r="R32" s="1261"/>
      <c r="S32" s="1261"/>
      <c r="T32" s="1261"/>
      <c r="U32" s="1261"/>
      <c r="V32" s="1261"/>
      <c r="W32" s="1261"/>
      <c r="X32" s="1262"/>
      <c r="Y32" s="1268"/>
      <c r="Z32" s="1264"/>
      <c r="AA32" s="1265"/>
    </row>
    <row r="33" spans="1:27" s="1204" customFormat="1">
      <c r="A33" s="1189" t="s">
        <v>67</v>
      </c>
      <c r="B33" s="1199" t="s">
        <v>1108</v>
      </c>
      <c r="C33" s="1199" t="s">
        <v>1109</v>
      </c>
      <c r="D33" s="1189" t="s">
        <v>103</v>
      </c>
      <c r="E33" s="1200"/>
      <c r="F33" s="1196">
        <f>+F34+F35+F38+F42+F47+F49+F51</f>
        <v>26333.5</v>
      </c>
      <c r="G33" s="1196">
        <f t="shared" ref="G33:X33" si="10">+G34+G35+G38+G42+G47+G49+G51</f>
        <v>17158</v>
      </c>
      <c r="H33" s="1196">
        <f t="shared" si="10"/>
        <v>11271</v>
      </c>
      <c r="I33" s="1196">
        <f t="shared" si="10"/>
        <v>200</v>
      </c>
      <c r="J33" s="1196">
        <f t="shared" si="10"/>
        <v>1350</v>
      </c>
      <c r="K33" s="1196">
        <f t="shared" si="10"/>
        <v>6820.5</v>
      </c>
      <c r="L33" s="1196">
        <f t="shared" si="10"/>
        <v>2900.5</v>
      </c>
      <c r="M33" s="1196">
        <f t="shared" si="10"/>
        <v>5887</v>
      </c>
      <c r="N33" s="1196">
        <f t="shared" si="10"/>
        <v>1339.0000000000002</v>
      </c>
      <c r="O33" s="1196">
        <f t="shared" si="10"/>
        <v>0</v>
      </c>
      <c r="P33" s="1196">
        <f t="shared" si="10"/>
        <v>4548</v>
      </c>
      <c r="Q33" s="1196">
        <f t="shared" si="10"/>
        <v>480</v>
      </c>
      <c r="R33" s="1196">
        <f t="shared" si="10"/>
        <v>5017</v>
      </c>
      <c r="S33" s="1196">
        <f t="shared" si="10"/>
        <v>5017</v>
      </c>
      <c r="T33" s="1196">
        <f t="shared" si="10"/>
        <v>0</v>
      </c>
      <c r="U33" s="1196">
        <f t="shared" si="10"/>
        <v>0</v>
      </c>
      <c r="V33" s="1196">
        <f t="shared" si="10"/>
        <v>0</v>
      </c>
      <c r="W33" s="1196">
        <f t="shared" si="10"/>
        <v>0</v>
      </c>
      <c r="X33" s="1196">
        <f t="shared" si="10"/>
        <v>3678.5</v>
      </c>
      <c r="Y33" s="1201"/>
      <c r="Z33" s="1202"/>
      <c r="AA33" s="1203"/>
    </row>
    <row r="34" spans="1:27" s="1214" customFormat="1">
      <c r="A34" s="1205">
        <v>1</v>
      </c>
      <c r="B34" s="1206" t="s">
        <v>369</v>
      </c>
      <c r="C34" s="1206" t="s">
        <v>369</v>
      </c>
      <c r="D34" s="1205" t="s">
        <v>71</v>
      </c>
      <c r="E34" s="1207">
        <v>1</v>
      </c>
      <c r="F34" s="1208">
        <v>129</v>
      </c>
      <c r="G34" s="1208">
        <f>+H34+M34</f>
        <v>129</v>
      </c>
      <c r="H34" s="1210">
        <f>+SUM(I34:L34)</f>
        <v>129</v>
      </c>
      <c r="I34" s="1208"/>
      <c r="J34" s="1208"/>
      <c r="K34" s="1208"/>
      <c r="L34" s="1208">
        <f>+F34</f>
        <v>129</v>
      </c>
      <c r="M34" s="1208">
        <f>+N34+O34+P34</f>
        <v>0</v>
      </c>
      <c r="N34" s="1208"/>
      <c r="O34" s="1208"/>
      <c r="P34" s="1208"/>
      <c r="Q34" s="1208"/>
      <c r="R34" s="1208"/>
      <c r="S34" s="1208"/>
      <c r="T34" s="1208"/>
      <c r="U34" s="1208"/>
      <c r="V34" s="1208"/>
      <c r="W34" s="1208"/>
      <c r="X34" s="1208"/>
      <c r="Y34" s="1211"/>
      <c r="Z34" s="1212"/>
      <c r="AA34" s="1213"/>
    </row>
    <row r="35" spans="1:27" s="1219" customFormat="1">
      <c r="A35" s="1190">
        <v>2</v>
      </c>
      <c r="B35" s="1215" t="s">
        <v>29</v>
      </c>
      <c r="C35" s="1215" t="s">
        <v>29</v>
      </c>
      <c r="D35" s="1190" t="s">
        <v>69</v>
      </c>
      <c r="E35" s="1216"/>
      <c r="F35" s="1231">
        <f>+F36+F37</f>
        <v>5477.5</v>
      </c>
      <c r="G35" s="1231">
        <f t="shared" ref="G35:X35" si="11">+G36+G37</f>
        <v>3469</v>
      </c>
      <c r="H35" s="1231">
        <f t="shared" si="11"/>
        <v>2130</v>
      </c>
      <c r="I35" s="1231">
        <f t="shared" si="11"/>
        <v>0</v>
      </c>
      <c r="J35" s="1231">
        <f t="shared" si="11"/>
        <v>0</v>
      </c>
      <c r="K35" s="1231">
        <f t="shared" si="11"/>
        <v>1704</v>
      </c>
      <c r="L35" s="1231">
        <f t="shared" si="11"/>
        <v>426</v>
      </c>
      <c r="M35" s="1231">
        <f t="shared" si="11"/>
        <v>1339.0000000000002</v>
      </c>
      <c r="N35" s="1231">
        <f t="shared" si="11"/>
        <v>1339.0000000000002</v>
      </c>
      <c r="O35" s="1231">
        <f t="shared" si="11"/>
        <v>0</v>
      </c>
      <c r="P35" s="1231">
        <f t="shared" si="11"/>
        <v>0</v>
      </c>
      <c r="Q35" s="1231">
        <f t="shared" si="11"/>
        <v>0</v>
      </c>
      <c r="R35" s="1231">
        <f t="shared" si="11"/>
        <v>0</v>
      </c>
      <c r="S35" s="1231">
        <f t="shared" si="11"/>
        <v>0</v>
      </c>
      <c r="T35" s="1231">
        <f t="shared" si="11"/>
        <v>0</v>
      </c>
      <c r="U35" s="1231">
        <f t="shared" si="11"/>
        <v>0</v>
      </c>
      <c r="V35" s="1231">
        <f t="shared" si="11"/>
        <v>0</v>
      </c>
      <c r="W35" s="1231">
        <f t="shared" si="11"/>
        <v>0</v>
      </c>
      <c r="X35" s="1231">
        <f t="shared" si="11"/>
        <v>2008.5000000000002</v>
      </c>
      <c r="Y35" s="1231"/>
      <c r="Z35" s="1202"/>
      <c r="AA35" s="1203"/>
    </row>
    <row r="36" spans="1:27" s="1214" customFormat="1">
      <c r="A36" s="1208" t="s">
        <v>81</v>
      </c>
      <c r="B36" s="1206" t="s">
        <v>710</v>
      </c>
      <c r="C36" s="1206" t="s">
        <v>1095</v>
      </c>
      <c r="D36" s="1205" t="s">
        <v>69</v>
      </c>
      <c r="E36" s="1234">
        <v>1.42</v>
      </c>
      <c r="F36" s="1210">
        <f>+E36*1500</f>
        <v>2130</v>
      </c>
      <c r="G36" s="1210">
        <f>+H36+M36</f>
        <v>2130</v>
      </c>
      <c r="H36" s="1210">
        <f>+SUM(I36:L36)</f>
        <v>2130</v>
      </c>
      <c r="I36" s="1210"/>
      <c r="J36" s="1210"/>
      <c r="K36" s="1210">
        <f>+F36*0.8</f>
        <v>1704</v>
      </c>
      <c r="L36" s="1210">
        <f>+F36-K36</f>
        <v>426</v>
      </c>
      <c r="M36" s="1210">
        <f>+N36+O36+P36</f>
        <v>0</v>
      </c>
      <c r="N36" s="1210"/>
      <c r="O36" s="1210"/>
      <c r="P36" s="1210"/>
      <c r="Q36" s="1210"/>
      <c r="R36" s="1210"/>
      <c r="S36" s="1210"/>
      <c r="T36" s="1210"/>
      <c r="U36" s="1210"/>
      <c r="V36" s="1210"/>
      <c r="W36" s="1210"/>
      <c r="X36" s="1210"/>
      <c r="Y36" s="1211"/>
      <c r="Z36" s="1212"/>
      <c r="AA36" s="1235"/>
    </row>
    <row r="37" spans="1:27" s="1214" customFormat="1" ht="17.45" customHeight="1">
      <c r="A37" s="1208" t="s">
        <v>81</v>
      </c>
      <c r="B37" s="1206" t="s">
        <v>182</v>
      </c>
      <c r="C37" s="1206" t="s">
        <v>182</v>
      </c>
      <c r="D37" s="1205" t="s">
        <v>71</v>
      </c>
      <c r="E37" s="1234">
        <v>5.15</v>
      </c>
      <c r="F37" s="1210">
        <f>+E37*650</f>
        <v>3347.5000000000005</v>
      </c>
      <c r="G37" s="1210">
        <f>+H37+M37</f>
        <v>1339.0000000000002</v>
      </c>
      <c r="H37" s="1210">
        <f>+J37+K37+L37</f>
        <v>0</v>
      </c>
      <c r="I37" s="1210"/>
      <c r="J37" s="1210"/>
      <c r="K37" s="1210"/>
      <c r="L37" s="1210"/>
      <c r="M37" s="1210">
        <f>+N37+O37+P37</f>
        <v>1339.0000000000002</v>
      </c>
      <c r="N37" s="1210">
        <f>+F37*0.4</f>
        <v>1339.0000000000002</v>
      </c>
      <c r="O37" s="1210"/>
      <c r="P37" s="1210"/>
      <c r="Q37" s="1210"/>
      <c r="R37" s="1210"/>
      <c r="S37" s="1210"/>
      <c r="T37" s="1210"/>
      <c r="U37" s="1210"/>
      <c r="V37" s="1210"/>
      <c r="W37" s="1210"/>
      <c r="X37" s="1210">
        <f>+F37-N37</f>
        <v>2008.5000000000002</v>
      </c>
      <c r="Y37" s="1236"/>
      <c r="Z37" s="1212"/>
      <c r="AA37" s="1235"/>
    </row>
    <row r="38" spans="1:27" s="1219" customFormat="1" ht="24.6" customHeight="1">
      <c r="A38" s="1190">
        <v>3</v>
      </c>
      <c r="B38" s="1215" t="s">
        <v>75</v>
      </c>
      <c r="C38" s="1215" t="s">
        <v>75</v>
      </c>
      <c r="D38" s="1190" t="s">
        <v>71</v>
      </c>
      <c r="E38" s="1216"/>
      <c r="F38" s="1231">
        <f>+F39+F40+F41</f>
        <v>11370</v>
      </c>
      <c r="G38" s="1231">
        <f t="shared" ref="G38:X38" si="12">+G39+G40+G41</f>
        <v>11370</v>
      </c>
      <c r="H38" s="1231">
        <f t="shared" si="12"/>
        <v>6822</v>
      </c>
      <c r="I38" s="1231">
        <f t="shared" si="12"/>
        <v>0</v>
      </c>
      <c r="J38" s="1231">
        <f t="shared" si="12"/>
        <v>0</v>
      </c>
      <c r="K38" s="1231">
        <f t="shared" si="12"/>
        <v>5116.5</v>
      </c>
      <c r="L38" s="1231">
        <f t="shared" si="12"/>
        <v>1705.5</v>
      </c>
      <c r="M38" s="1231">
        <f t="shared" si="12"/>
        <v>4548</v>
      </c>
      <c r="N38" s="1231">
        <f t="shared" si="12"/>
        <v>0</v>
      </c>
      <c r="O38" s="1231">
        <f t="shared" si="12"/>
        <v>0</v>
      </c>
      <c r="P38" s="1231">
        <f t="shared" si="12"/>
        <v>4548</v>
      </c>
      <c r="Q38" s="1231">
        <f t="shared" si="12"/>
        <v>0</v>
      </c>
      <c r="R38" s="1231">
        <f t="shared" si="12"/>
        <v>0</v>
      </c>
      <c r="S38" s="1231">
        <f t="shared" si="12"/>
        <v>0</v>
      </c>
      <c r="T38" s="1231">
        <f t="shared" si="12"/>
        <v>0</v>
      </c>
      <c r="U38" s="1231">
        <f t="shared" si="12"/>
        <v>0</v>
      </c>
      <c r="V38" s="1231">
        <f t="shared" si="12"/>
        <v>0</v>
      </c>
      <c r="W38" s="1231">
        <f t="shared" si="12"/>
        <v>0</v>
      </c>
      <c r="X38" s="1231">
        <f t="shared" si="12"/>
        <v>0</v>
      </c>
      <c r="Y38" s="1218"/>
      <c r="Z38" s="1202"/>
      <c r="AA38" s="1237"/>
    </row>
    <row r="39" spans="1:27" s="1266" customFormat="1" ht="45" customHeight="1">
      <c r="A39" s="1256" t="s">
        <v>81</v>
      </c>
      <c r="B39" s="1257" t="s">
        <v>1110</v>
      </c>
      <c r="C39" s="1258"/>
      <c r="D39" s="1259" t="s">
        <v>71</v>
      </c>
      <c r="E39" s="1260">
        <v>1</v>
      </c>
      <c r="F39" s="1261">
        <f>+(3*20+2*60+20+15+60+24)*6</f>
        <v>1794</v>
      </c>
      <c r="G39" s="1262">
        <f>+H39+M39</f>
        <v>1794</v>
      </c>
      <c r="H39" s="1262">
        <f>+SUM(I39:L39)</f>
        <v>1076.4000000000001</v>
      </c>
      <c r="I39" s="1262"/>
      <c r="J39" s="1262"/>
      <c r="K39" s="1262">
        <f>+F39*0.45</f>
        <v>807.30000000000007</v>
      </c>
      <c r="L39" s="1262">
        <f>+F39-K39-P39</f>
        <v>269.09999999999991</v>
      </c>
      <c r="M39" s="1262">
        <f>+N39+O39+P39</f>
        <v>717.6</v>
      </c>
      <c r="N39" s="1262"/>
      <c r="O39" s="1262"/>
      <c r="P39" s="1262">
        <f>+F39*0.4</f>
        <v>717.6</v>
      </c>
      <c r="Q39" s="1262"/>
      <c r="R39" s="1262"/>
      <c r="S39" s="1262"/>
      <c r="T39" s="1262"/>
      <c r="U39" s="1262"/>
      <c r="V39" s="1262"/>
      <c r="W39" s="1262"/>
      <c r="X39" s="1262"/>
      <c r="Y39" s="1280"/>
      <c r="Z39" s="1264"/>
      <c r="AA39" s="1270"/>
    </row>
    <row r="40" spans="1:27" s="1266" customFormat="1" ht="49.7" customHeight="1">
      <c r="A40" s="1256" t="s">
        <v>81</v>
      </c>
      <c r="B40" s="1267" t="s">
        <v>1111</v>
      </c>
      <c r="C40" s="1268"/>
      <c r="D40" s="1259" t="s">
        <v>71</v>
      </c>
      <c r="E40" s="1269">
        <v>1</v>
      </c>
      <c r="F40" s="1261">
        <f>+(2*53+6*65+80)*6+900</f>
        <v>4356</v>
      </c>
      <c r="G40" s="1262">
        <f>+H40+M40</f>
        <v>4356</v>
      </c>
      <c r="H40" s="1262">
        <f>+SUM(I40:L40)</f>
        <v>2613.6000000000004</v>
      </c>
      <c r="I40" s="1262"/>
      <c r="J40" s="1262"/>
      <c r="K40" s="1262">
        <f>+F40*0.45</f>
        <v>1960.2</v>
      </c>
      <c r="L40" s="1262">
        <f>+F40-K40-P40</f>
        <v>653.40000000000009</v>
      </c>
      <c r="M40" s="1262">
        <f>+N40+O40+P40</f>
        <v>1742.4</v>
      </c>
      <c r="N40" s="1262"/>
      <c r="O40" s="1262"/>
      <c r="P40" s="1262">
        <f>+F40*0.4</f>
        <v>1742.4</v>
      </c>
      <c r="Q40" s="1262"/>
      <c r="R40" s="1262"/>
      <c r="S40" s="1262"/>
      <c r="T40" s="1262"/>
      <c r="U40" s="1262"/>
      <c r="V40" s="1262"/>
      <c r="W40" s="1262"/>
      <c r="X40" s="1262"/>
      <c r="Y40" s="734"/>
      <c r="Z40" s="1264"/>
      <c r="AA40" s="1270"/>
    </row>
    <row r="41" spans="1:27" s="1266" customFormat="1" ht="43.35" customHeight="1">
      <c r="A41" s="1256" t="s">
        <v>81</v>
      </c>
      <c r="B41" s="1267" t="s">
        <v>1112</v>
      </c>
      <c r="C41" s="1268"/>
      <c r="D41" s="1259"/>
      <c r="E41" s="1260">
        <v>1</v>
      </c>
      <c r="F41" s="1273">
        <f>9*80*6+900</f>
        <v>5220</v>
      </c>
      <c r="G41" s="1262">
        <f>+H41+M41</f>
        <v>5220</v>
      </c>
      <c r="H41" s="1262">
        <f>+SUM(I41:L41)</f>
        <v>3132</v>
      </c>
      <c r="I41" s="1262"/>
      <c r="J41" s="1262"/>
      <c r="K41" s="1262">
        <f>+F41*0.45</f>
        <v>2349</v>
      </c>
      <c r="L41" s="1262">
        <f>+F41-K41-P41</f>
        <v>783</v>
      </c>
      <c r="M41" s="1262">
        <f>+N41+O41+P41</f>
        <v>2088</v>
      </c>
      <c r="N41" s="1262"/>
      <c r="O41" s="1262"/>
      <c r="P41" s="1262">
        <f>+F41*0.4</f>
        <v>2088</v>
      </c>
      <c r="Q41" s="1262"/>
      <c r="R41" s="1262"/>
      <c r="S41" s="1262"/>
      <c r="T41" s="1262"/>
      <c r="U41" s="1262"/>
      <c r="V41" s="1262"/>
      <c r="W41" s="1262"/>
      <c r="X41" s="1262"/>
      <c r="Y41" s="734"/>
      <c r="Z41" s="1264"/>
      <c r="AA41" s="1270"/>
    </row>
    <row r="42" spans="1:27" s="1219" customFormat="1">
      <c r="A42" s="1190">
        <v>4</v>
      </c>
      <c r="B42" s="1215" t="s">
        <v>36</v>
      </c>
      <c r="C42" s="1215"/>
      <c r="D42" s="1190" t="s">
        <v>103</v>
      </c>
      <c r="E42" s="1216"/>
      <c r="F42" s="1231">
        <f>+F43+F44+F45+F46</f>
        <v>2340</v>
      </c>
      <c r="G42" s="1231">
        <f t="shared" ref="G42:X42" si="13">+G43+G44+G45+G46</f>
        <v>1790</v>
      </c>
      <c r="H42" s="1231">
        <f t="shared" si="13"/>
        <v>1790</v>
      </c>
      <c r="I42" s="1231">
        <f t="shared" si="13"/>
        <v>0</v>
      </c>
      <c r="J42" s="1231">
        <f t="shared" si="13"/>
        <v>1350</v>
      </c>
      <c r="K42" s="1231">
        <f t="shared" si="13"/>
        <v>0</v>
      </c>
      <c r="L42" s="1231">
        <f t="shared" si="13"/>
        <v>440</v>
      </c>
      <c r="M42" s="1231">
        <f t="shared" si="13"/>
        <v>0</v>
      </c>
      <c r="N42" s="1231">
        <f t="shared" si="13"/>
        <v>0</v>
      </c>
      <c r="O42" s="1231">
        <f t="shared" si="13"/>
        <v>0</v>
      </c>
      <c r="P42" s="1231">
        <f t="shared" si="13"/>
        <v>0</v>
      </c>
      <c r="Q42" s="1231">
        <f t="shared" si="13"/>
        <v>0</v>
      </c>
      <c r="R42" s="1231">
        <f t="shared" si="13"/>
        <v>0</v>
      </c>
      <c r="S42" s="1231">
        <f t="shared" si="13"/>
        <v>0</v>
      </c>
      <c r="T42" s="1231">
        <f t="shared" si="13"/>
        <v>0</v>
      </c>
      <c r="U42" s="1231">
        <f t="shared" si="13"/>
        <v>0</v>
      </c>
      <c r="V42" s="1231">
        <f t="shared" si="13"/>
        <v>0</v>
      </c>
      <c r="W42" s="1231">
        <f t="shared" si="13"/>
        <v>0</v>
      </c>
      <c r="X42" s="1231">
        <f t="shared" si="13"/>
        <v>550</v>
      </c>
      <c r="Y42" s="1231"/>
      <c r="Z42" s="1202"/>
      <c r="AA42" s="1237"/>
    </row>
    <row r="43" spans="1:27" s="1266" customFormat="1" ht="23.45" customHeight="1">
      <c r="A43" s="1256" t="s">
        <v>81</v>
      </c>
      <c r="B43" s="1258" t="s">
        <v>1113</v>
      </c>
      <c r="C43" s="1258"/>
      <c r="D43" s="1259" t="s">
        <v>71</v>
      </c>
      <c r="E43" s="1260">
        <v>1</v>
      </c>
      <c r="F43" s="1261">
        <v>200</v>
      </c>
      <c r="G43" s="1261">
        <f>+H43+M43</f>
        <v>200</v>
      </c>
      <c r="H43" s="1261">
        <f>I43+J43+K43+L43</f>
        <v>200</v>
      </c>
      <c r="I43" s="1261">
        <f>SUM(J43:K43)</f>
        <v>0</v>
      </c>
      <c r="J43" s="1261"/>
      <c r="K43" s="1261"/>
      <c r="L43" s="1261">
        <v>200</v>
      </c>
      <c r="M43" s="1261">
        <f>N43+P43+O43</f>
        <v>0</v>
      </c>
      <c r="N43" s="1261"/>
      <c r="O43" s="1261"/>
      <c r="P43" s="1261"/>
      <c r="Q43" s="1261">
        <f>R43+S43</f>
        <v>0</v>
      </c>
      <c r="R43" s="1261"/>
      <c r="S43" s="1261"/>
      <c r="T43" s="1261"/>
      <c r="U43" s="1261"/>
      <c r="V43" s="1261"/>
      <c r="W43" s="1261"/>
      <c r="X43" s="1262"/>
      <c r="Y43" s="734"/>
      <c r="Z43" s="1264"/>
      <c r="AA43" s="1270"/>
    </row>
    <row r="44" spans="1:27" s="1266" customFormat="1">
      <c r="A44" s="1256" t="s">
        <v>81</v>
      </c>
      <c r="B44" s="1258" t="s">
        <v>1114</v>
      </c>
      <c r="C44" s="1258" t="s">
        <v>1114</v>
      </c>
      <c r="D44" s="1259" t="s">
        <v>71</v>
      </c>
      <c r="E44" s="1260">
        <v>4</v>
      </c>
      <c r="F44" s="1262">
        <f>+E44*400</f>
        <v>1600</v>
      </c>
      <c r="G44" s="1262">
        <f>+H44+M44</f>
        <v>1200</v>
      </c>
      <c r="H44" s="1262">
        <f>+SUM(I44:L44)</f>
        <v>1200</v>
      </c>
      <c r="I44" s="1262"/>
      <c r="J44" s="1262">
        <f>+E44*300</f>
        <v>1200</v>
      </c>
      <c r="K44" s="1262"/>
      <c r="L44" s="1262"/>
      <c r="M44" s="1262">
        <f>+N44+O44+P44</f>
        <v>0</v>
      </c>
      <c r="N44" s="1262"/>
      <c r="O44" s="1262"/>
      <c r="P44" s="1262"/>
      <c r="Q44" s="1262"/>
      <c r="R44" s="1262"/>
      <c r="S44" s="1262"/>
      <c r="T44" s="1262"/>
      <c r="U44" s="1262"/>
      <c r="V44" s="1262"/>
      <c r="W44" s="1262"/>
      <c r="X44" s="1262">
        <f>+F44-J44</f>
        <v>400</v>
      </c>
      <c r="Y44" s="1281"/>
      <c r="Z44" s="1264"/>
      <c r="AA44" s="1265"/>
    </row>
    <row r="45" spans="1:27" s="1266" customFormat="1">
      <c r="A45" s="1256"/>
      <c r="B45" s="1258" t="s">
        <v>1115</v>
      </c>
      <c r="C45" s="1258"/>
      <c r="D45" s="1259" t="s">
        <v>71</v>
      </c>
      <c r="E45" s="1260">
        <v>1</v>
      </c>
      <c r="F45" s="1262">
        <f>+E45*300</f>
        <v>300</v>
      </c>
      <c r="G45" s="1262">
        <f>+H45+M45</f>
        <v>150</v>
      </c>
      <c r="H45" s="1262">
        <f>+SUM(I45:L45)</f>
        <v>150</v>
      </c>
      <c r="I45" s="1262"/>
      <c r="J45" s="1262">
        <f>+E45*150</f>
        <v>150</v>
      </c>
      <c r="K45" s="1262"/>
      <c r="L45" s="1262"/>
      <c r="M45" s="1262">
        <f>+N45+O45+P45</f>
        <v>0</v>
      </c>
      <c r="N45" s="1262"/>
      <c r="O45" s="1262"/>
      <c r="P45" s="1262"/>
      <c r="Q45" s="1262"/>
      <c r="R45" s="1262"/>
      <c r="S45" s="1262"/>
      <c r="T45" s="1262"/>
      <c r="U45" s="1262"/>
      <c r="V45" s="1262"/>
      <c r="W45" s="1262"/>
      <c r="X45" s="1262">
        <f>+F45-J45</f>
        <v>150</v>
      </c>
      <c r="Y45" s="1281"/>
      <c r="Z45" s="1264"/>
      <c r="AA45" s="1265"/>
    </row>
    <row r="46" spans="1:27" s="1266" customFormat="1" ht="25.5">
      <c r="A46" s="1256"/>
      <c r="B46" s="1258" t="s">
        <v>1103</v>
      </c>
      <c r="C46" s="1258" t="s">
        <v>1103</v>
      </c>
      <c r="D46" s="1259" t="s">
        <v>1116</v>
      </c>
      <c r="E46" s="1260">
        <f>11-5</f>
        <v>6</v>
      </c>
      <c r="F46" s="1261">
        <f>+E46*40</f>
        <v>240</v>
      </c>
      <c r="G46" s="1261">
        <f>H46+M46</f>
        <v>240</v>
      </c>
      <c r="H46" s="1262">
        <f>+SUM(I46:L46)</f>
        <v>240</v>
      </c>
      <c r="I46" s="1261">
        <f>SUM(J46:K46)</f>
        <v>0</v>
      </c>
      <c r="J46" s="1261"/>
      <c r="K46" s="1261"/>
      <c r="L46" s="1261">
        <v>240</v>
      </c>
      <c r="M46" s="1262">
        <f>+N46+O46+P46</f>
        <v>0</v>
      </c>
      <c r="N46" s="1261"/>
      <c r="O46" s="1261"/>
      <c r="P46" s="1261"/>
      <c r="Q46" s="1261">
        <f>R46+S46</f>
        <v>0</v>
      </c>
      <c r="R46" s="1261"/>
      <c r="S46" s="1261"/>
      <c r="T46" s="1261"/>
      <c r="U46" s="1261"/>
      <c r="V46" s="1261"/>
      <c r="W46" s="1261"/>
      <c r="X46" s="1262"/>
      <c r="Y46" s="1268"/>
      <c r="Z46" s="1264"/>
      <c r="AA46" s="1265"/>
    </row>
    <row r="47" spans="1:27" s="1219" customFormat="1">
      <c r="A47" s="1229">
        <v>5</v>
      </c>
      <c r="B47" s="1215" t="s">
        <v>39</v>
      </c>
      <c r="C47" s="1215" t="s">
        <v>39</v>
      </c>
      <c r="D47" s="1190" t="s">
        <v>103</v>
      </c>
      <c r="E47" s="1230"/>
      <c r="F47" s="1231">
        <f>+F48</f>
        <v>1600</v>
      </c>
      <c r="G47" s="1231">
        <f t="shared" ref="G47:X47" si="14">+G48</f>
        <v>0</v>
      </c>
      <c r="H47" s="1231">
        <f t="shared" si="14"/>
        <v>0</v>
      </c>
      <c r="I47" s="1231">
        <f t="shared" si="14"/>
        <v>0</v>
      </c>
      <c r="J47" s="1231">
        <f t="shared" si="14"/>
        <v>0</v>
      </c>
      <c r="K47" s="1231">
        <f t="shared" si="14"/>
        <v>0</v>
      </c>
      <c r="L47" s="1231">
        <f t="shared" si="14"/>
        <v>0</v>
      </c>
      <c r="M47" s="1231">
        <f t="shared" si="14"/>
        <v>0</v>
      </c>
      <c r="N47" s="1231">
        <f t="shared" si="14"/>
        <v>0</v>
      </c>
      <c r="O47" s="1231">
        <f t="shared" si="14"/>
        <v>0</v>
      </c>
      <c r="P47" s="1231">
        <f t="shared" si="14"/>
        <v>0</v>
      </c>
      <c r="Q47" s="1231">
        <f t="shared" si="14"/>
        <v>480</v>
      </c>
      <c r="R47" s="1231">
        <f t="shared" si="14"/>
        <v>0</v>
      </c>
      <c r="S47" s="1231">
        <f t="shared" si="14"/>
        <v>0</v>
      </c>
      <c r="T47" s="1231">
        <f t="shared" si="14"/>
        <v>0</v>
      </c>
      <c r="U47" s="1231">
        <f t="shared" si="14"/>
        <v>0</v>
      </c>
      <c r="V47" s="1231">
        <f t="shared" si="14"/>
        <v>0</v>
      </c>
      <c r="W47" s="1231">
        <f t="shared" si="14"/>
        <v>0</v>
      </c>
      <c r="X47" s="1231">
        <f t="shared" si="14"/>
        <v>1120</v>
      </c>
      <c r="Y47" s="1218"/>
      <c r="Z47" s="1202"/>
      <c r="AA47" s="1237"/>
    </row>
    <row r="48" spans="1:27" s="1266" customFormat="1" ht="25.5">
      <c r="A48" s="1256"/>
      <c r="B48" s="1258" t="s">
        <v>718</v>
      </c>
      <c r="C48" s="1258" t="s">
        <v>718</v>
      </c>
      <c r="D48" s="1259" t="s">
        <v>76</v>
      </c>
      <c r="E48" s="1278">
        <v>16</v>
      </c>
      <c r="F48" s="1262">
        <f>+E48*100</f>
        <v>1600</v>
      </c>
      <c r="G48" s="1261">
        <f>H48+M48</f>
        <v>0</v>
      </c>
      <c r="H48" s="1262">
        <f>+SUM(I48:L48)</f>
        <v>0</v>
      </c>
      <c r="I48" s="1262"/>
      <c r="J48" s="1262"/>
      <c r="K48" s="1262"/>
      <c r="L48" s="1262"/>
      <c r="M48" s="1262">
        <f>+N48+O48+P48</f>
        <v>0</v>
      </c>
      <c r="N48" s="1262"/>
      <c r="O48" s="1262"/>
      <c r="P48" s="1262"/>
      <c r="Q48" s="1262">
        <f>+E48*30</f>
        <v>480</v>
      </c>
      <c r="R48" s="1262"/>
      <c r="S48" s="1262"/>
      <c r="T48" s="1262"/>
      <c r="U48" s="1262"/>
      <c r="V48" s="1262"/>
      <c r="W48" s="1262"/>
      <c r="X48" s="1262">
        <f>+F48-Q48</f>
        <v>1120</v>
      </c>
      <c r="Y48" s="1262"/>
      <c r="Z48" s="1264"/>
      <c r="AA48" s="1265"/>
    </row>
    <row r="49" spans="1:27" s="1219" customFormat="1">
      <c r="A49" s="1229">
        <v>6</v>
      </c>
      <c r="B49" s="1215" t="s">
        <v>83</v>
      </c>
      <c r="C49" s="1215" t="s">
        <v>83</v>
      </c>
      <c r="D49" s="1190"/>
      <c r="E49" s="1216"/>
      <c r="F49" s="1231">
        <f>F50</f>
        <v>5017</v>
      </c>
      <c r="G49" s="1231">
        <f t="shared" ref="G49:X49" si="15">G50</f>
        <v>0</v>
      </c>
      <c r="H49" s="1231">
        <f t="shared" si="15"/>
        <v>0</v>
      </c>
      <c r="I49" s="1231">
        <f t="shared" si="15"/>
        <v>0</v>
      </c>
      <c r="J49" s="1231">
        <f t="shared" si="15"/>
        <v>0</v>
      </c>
      <c r="K49" s="1231">
        <f t="shared" si="15"/>
        <v>0</v>
      </c>
      <c r="L49" s="1231">
        <f t="shared" si="15"/>
        <v>0</v>
      </c>
      <c r="M49" s="1231">
        <f t="shared" si="15"/>
        <v>0</v>
      </c>
      <c r="N49" s="1231">
        <f t="shared" si="15"/>
        <v>0</v>
      </c>
      <c r="O49" s="1231">
        <f t="shared" si="15"/>
        <v>0</v>
      </c>
      <c r="P49" s="1231">
        <f t="shared" si="15"/>
        <v>0</v>
      </c>
      <c r="Q49" s="1231">
        <f t="shared" si="15"/>
        <v>0</v>
      </c>
      <c r="R49" s="1231">
        <f t="shared" si="15"/>
        <v>5017</v>
      </c>
      <c r="S49" s="1231">
        <f t="shared" si="15"/>
        <v>5017</v>
      </c>
      <c r="T49" s="1231">
        <f t="shared" si="15"/>
        <v>0</v>
      </c>
      <c r="U49" s="1231">
        <f t="shared" si="15"/>
        <v>0</v>
      </c>
      <c r="V49" s="1231">
        <f t="shared" si="15"/>
        <v>0</v>
      </c>
      <c r="W49" s="1231">
        <f t="shared" si="15"/>
        <v>0</v>
      </c>
      <c r="X49" s="1231">
        <f t="shared" si="15"/>
        <v>0</v>
      </c>
      <c r="Y49" s="1231"/>
      <c r="Z49" s="1202"/>
      <c r="AA49" s="1237"/>
    </row>
    <row r="50" spans="1:27" s="1266" customFormat="1">
      <c r="A50" s="1256"/>
      <c r="B50" s="1258" t="s">
        <v>1104</v>
      </c>
      <c r="C50" s="1258" t="s">
        <v>1104</v>
      </c>
      <c r="D50" s="1259" t="s">
        <v>71</v>
      </c>
      <c r="E50" s="1269">
        <v>1</v>
      </c>
      <c r="F50" s="1261">
        <v>5017</v>
      </c>
      <c r="G50" s="1261">
        <f>H50+M50</f>
        <v>0</v>
      </c>
      <c r="H50" s="1262">
        <f>+SUM(I50:L50)</f>
        <v>0</v>
      </c>
      <c r="I50" s="1261">
        <f>SUM(J50:K50)</f>
        <v>0</v>
      </c>
      <c r="J50" s="1261"/>
      <c r="K50" s="1261"/>
      <c r="L50" s="1261"/>
      <c r="M50" s="1262">
        <f>+N50+O50+P50</f>
        <v>0</v>
      </c>
      <c r="N50" s="1261"/>
      <c r="O50" s="1261"/>
      <c r="P50" s="1261"/>
      <c r="Q50" s="1261"/>
      <c r="R50" s="1261">
        <f>+S50+T50+U50+V50</f>
        <v>5017</v>
      </c>
      <c r="S50" s="1261">
        <f>+F50</f>
        <v>5017</v>
      </c>
      <c r="T50" s="1261"/>
      <c r="U50" s="1261"/>
      <c r="V50" s="1261"/>
      <c r="W50" s="1261"/>
      <c r="X50" s="1262"/>
      <c r="Y50" s="1268"/>
      <c r="Z50" s="1264"/>
      <c r="AA50" s="1265"/>
    </row>
    <row r="51" spans="1:27" s="1219" customFormat="1">
      <c r="A51" s="1190">
        <v>7</v>
      </c>
      <c r="B51" s="1215" t="s">
        <v>583</v>
      </c>
      <c r="C51" s="1215" t="s">
        <v>583</v>
      </c>
      <c r="D51" s="1190" t="s">
        <v>103</v>
      </c>
      <c r="E51" s="1216"/>
      <c r="F51" s="1231">
        <f>SUM(F52:F53)</f>
        <v>400</v>
      </c>
      <c r="G51" s="1231">
        <f t="shared" ref="G51:X51" si="16">SUM(G52:G53)</f>
        <v>400</v>
      </c>
      <c r="H51" s="1231">
        <f t="shared" si="16"/>
        <v>400</v>
      </c>
      <c r="I51" s="1231">
        <f t="shared" si="16"/>
        <v>200</v>
      </c>
      <c r="J51" s="1231">
        <f t="shared" si="16"/>
        <v>0</v>
      </c>
      <c r="K51" s="1231">
        <f t="shared" si="16"/>
        <v>0</v>
      </c>
      <c r="L51" s="1231">
        <f t="shared" si="16"/>
        <v>200</v>
      </c>
      <c r="M51" s="1231">
        <f t="shared" si="16"/>
        <v>0</v>
      </c>
      <c r="N51" s="1231">
        <f t="shared" si="16"/>
        <v>0</v>
      </c>
      <c r="O51" s="1231">
        <f t="shared" si="16"/>
        <v>0</v>
      </c>
      <c r="P51" s="1231">
        <f t="shared" si="16"/>
        <v>0</v>
      </c>
      <c r="Q51" s="1231">
        <f t="shared" si="16"/>
        <v>0</v>
      </c>
      <c r="R51" s="1231">
        <f t="shared" si="16"/>
        <v>0</v>
      </c>
      <c r="S51" s="1231">
        <f t="shared" si="16"/>
        <v>0</v>
      </c>
      <c r="T51" s="1231">
        <f t="shared" si="16"/>
        <v>0</v>
      </c>
      <c r="U51" s="1231">
        <f t="shared" si="16"/>
        <v>0</v>
      </c>
      <c r="V51" s="1231">
        <f t="shared" si="16"/>
        <v>0</v>
      </c>
      <c r="W51" s="1231">
        <f t="shared" si="16"/>
        <v>0</v>
      </c>
      <c r="X51" s="1231">
        <f t="shared" si="16"/>
        <v>0</v>
      </c>
      <c r="Y51" s="1218"/>
      <c r="Z51" s="1202"/>
      <c r="AA51" s="1237"/>
    </row>
    <row r="52" spans="1:27" s="1266" customFormat="1" ht="25.5">
      <c r="A52" s="1259"/>
      <c r="B52" s="1258" t="s">
        <v>1117</v>
      </c>
      <c r="C52" s="1258" t="s">
        <v>722</v>
      </c>
      <c r="D52" s="1259" t="s">
        <v>71</v>
      </c>
      <c r="E52" s="1269">
        <v>1</v>
      </c>
      <c r="F52" s="1261">
        <v>200</v>
      </c>
      <c r="G52" s="1261">
        <f>H52+M52</f>
        <v>200</v>
      </c>
      <c r="H52" s="1262">
        <f>+SUM(I52:L52)</f>
        <v>200</v>
      </c>
      <c r="I52" s="1262"/>
      <c r="J52" s="1262"/>
      <c r="K52" s="1262"/>
      <c r="L52" s="1262">
        <v>200</v>
      </c>
      <c r="M52" s="1262">
        <f>+N52+O52+P52</f>
        <v>0</v>
      </c>
      <c r="N52" s="1261"/>
      <c r="O52" s="1261"/>
      <c r="P52" s="1261"/>
      <c r="Q52" s="1261">
        <f>R52+S52</f>
        <v>0</v>
      </c>
      <c r="R52" s="1261">
        <f>+S52+T52+U52+V52</f>
        <v>0</v>
      </c>
      <c r="S52" s="1261"/>
      <c r="T52" s="1261"/>
      <c r="U52" s="1261"/>
      <c r="V52" s="1261"/>
      <c r="W52" s="1261"/>
      <c r="X52" s="1262"/>
      <c r="Y52" s="1268"/>
      <c r="Z52" s="1264"/>
      <c r="AA52" s="1270"/>
    </row>
    <row r="53" spans="1:27" s="1266" customFormat="1">
      <c r="A53" s="1256"/>
      <c r="B53" s="1258" t="s">
        <v>1106</v>
      </c>
      <c r="C53" s="1258" t="s">
        <v>1106</v>
      </c>
      <c r="D53" s="1259" t="s">
        <v>1107</v>
      </c>
      <c r="E53" s="1269">
        <v>40</v>
      </c>
      <c r="F53" s="1261">
        <f>+E53*5</f>
        <v>200</v>
      </c>
      <c r="G53" s="1261">
        <f>H53+M53</f>
        <v>200</v>
      </c>
      <c r="H53" s="1261">
        <f>I53+L53</f>
        <v>200</v>
      </c>
      <c r="I53" s="1261">
        <f>+F53</f>
        <v>200</v>
      </c>
      <c r="J53" s="1261"/>
      <c r="K53" s="1261"/>
      <c r="L53" s="1261"/>
      <c r="M53" s="1261">
        <f>O53+N53</f>
        <v>0</v>
      </c>
      <c r="N53" s="1261"/>
      <c r="O53" s="1261"/>
      <c r="P53" s="1261"/>
      <c r="Q53" s="1261"/>
      <c r="R53" s="1261"/>
      <c r="S53" s="1261"/>
      <c r="T53" s="1261"/>
      <c r="U53" s="1261"/>
      <c r="V53" s="1261"/>
      <c r="W53" s="1261"/>
      <c r="X53" s="1262"/>
      <c r="Y53" s="1268"/>
      <c r="Z53" s="1264"/>
      <c r="AA53" s="1265"/>
    </row>
    <row r="54" spans="1:27" s="1219" customFormat="1" ht="20.45" customHeight="1">
      <c r="A54" s="1189" t="s">
        <v>80</v>
      </c>
      <c r="B54" s="1199" t="s">
        <v>857</v>
      </c>
      <c r="C54" s="1199" t="s">
        <v>381</v>
      </c>
      <c r="D54" s="1189" t="s">
        <v>103</v>
      </c>
      <c r="E54" s="1239"/>
      <c r="F54" s="1196">
        <f>+F55+F56+F58+F67+F69</f>
        <v>10181</v>
      </c>
      <c r="G54" s="1196">
        <f t="shared" ref="G54:X54" si="17">+G55+G56+G58+G67+G69</f>
        <v>7731.4</v>
      </c>
      <c r="H54" s="1196">
        <f t="shared" si="17"/>
        <v>3821</v>
      </c>
      <c r="I54" s="1196">
        <f t="shared" si="17"/>
        <v>200</v>
      </c>
      <c r="J54" s="1196">
        <f t="shared" si="17"/>
        <v>0</v>
      </c>
      <c r="K54" s="1196">
        <f t="shared" si="17"/>
        <v>1944</v>
      </c>
      <c r="L54" s="1196">
        <f t="shared" si="17"/>
        <v>1677</v>
      </c>
      <c r="M54" s="1196">
        <f t="shared" si="17"/>
        <v>3910.4</v>
      </c>
      <c r="N54" s="1196">
        <f t="shared" si="17"/>
        <v>182.39999999999998</v>
      </c>
      <c r="O54" s="1196">
        <f t="shared" si="17"/>
        <v>0</v>
      </c>
      <c r="P54" s="1196">
        <f t="shared" si="17"/>
        <v>3728</v>
      </c>
      <c r="Q54" s="1196">
        <f t="shared" si="17"/>
        <v>0</v>
      </c>
      <c r="R54" s="1196">
        <f t="shared" si="17"/>
        <v>0</v>
      </c>
      <c r="S54" s="1196">
        <f t="shared" si="17"/>
        <v>0</v>
      </c>
      <c r="T54" s="1196">
        <f t="shared" si="17"/>
        <v>0</v>
      </c>
      <c r="U54" s="1196">
        <f t="shared" si="17"/>
        <v>0</v>
      </c>
      <c r="V54" s="1196">
        <f t="shared" si="17"/>
        <v>0</v>
      </c>
      <c r="W54" s="1196">
        <f t="shared" si="17"/>
        <v>0</v>
      </c>
      <c r="X54" s="1196">
        <f t="shared" si="17"/>
        <v>273.59999999999997</v>
      </c>
      <c r="Y54" s="1196"/>
      <c r="Z54" s="1202"/>
      <c r="AA54" s="1203"/>
    </row>
    <row r="55" spans="1:27" s="1214" customFormat="1">
      <c r="A55" s="1208">
        <v>1</v>
      </c>
      <c r="B55" s="1206" t="s">
        <v>369</v>
      </c>
      <c r="C55" s="1206" t="s">
        <v>369</v>
      </c>
      <c r="D55" s="1205" t="s">
        <v>71</v>
      </c>
      <c r="E55" s="1205">
        <v>1</v>
      </c>
      <c r="F55" s="1210">
        <v>129</v>
      </c>
      <c r="G55" s="1210">
        <f>+H55+M55</f>
        <v>129</v>
      </c>
      <c r="H55" s="1210">
        <f>+SUM(I55:L55)</f>
        <v>129</v>
      </c>
      <c r="I55" s="1210"/>
      <c r="J55" s="1210"/>
      <c r="K55" s="1210"/>
      <c r="L55" s="1210">
        <f>+F55</f>
        <v>129</v>
      </c>
      <c r="M55" s="1210">
        <f>+N55+O55+P55</f>
        <v>0</v>
      </c>
      <c r="N55" s="1210"/>
      <c r="O55" s="1210"/>
      <c r="P55" s="1210"/>
      <c r="Q55" s="1211"/>
      <c r="R55" s="1211"/>
      <c r="S55" s="1240"/>
      <c r="T55" s="1240"/>
      <c r="U55" s="1240"/>
      <c r="V55" s="1240"/>
      <c r="W55" s="1240"/>
      <c r="X55" s="1240"/>
      <c r="Y55" s="1236"/>
      <c r="Z55" s="1212"/>
      <c r="AA55" s="1213"/>
    </row>
    <row r="56" spans="1:27" s="1219" customFormat="1">
      <c r="A56" s="1190">
        <v>2</v>
      </c>
      <c r="B56" s="1215" t="s">
        <v>29</v>
      </c>
      <c r="C56" s="1215" t="s">
        <v>29</v>
      </c>
      <c r="D56" s="1190" t="s">
        <v>69</v>
      </c>
      <c r="E56" s="1216"/>
      <c r="F56" s="1231">
        <f t="shared" ref="F56:X56" si="18">SUM(F57:F57)</f>
        <v>455.99999999999994</v>
      </c>
      <c r="G56" s="1231">
        <f t="shared" si="18"/>
        <v>182.39999999999998</v>
      </c>
      <c r="H56" s="1231">
        <f t="shared" si="18"/>
        <v>0</v>
      </c>
      <c r="I56" s="1231">
        <f t="shared" si="18"/>
        <v>0</v>
      </c>
      <c r="J56" s="1231">
        <f t="shared" si="18"/>
        <v>0</v>
      </c>
      <c r="K56" s="1231">
        <f t="shared" si="18"/>
        <v>0</v>
      </c>
      <c r="L56" s="1231">
        <f t="shared" si="18"/>
        <v>0</v>
      </c>
      <c r="M56" s="1231">
        <f t="shared" si="18"/>
        <v>182.39999999999998</v>
      </c>
      <c r="N56" s="1231">
        <f t="shared" si="18"/>
        <v>182.39999999999998</v>
      </c>
      <c r="O56" s="1231">
        <f t="shared" si="18"/>
        <v>0</v>
      </c>
      <c r="P56" s="1231">
        <f t="shared" si="18"/>
        <v>0</v>
      </c>
      <c r="Q56" s="1231">
        <f t="shared" si="18"/>
        <v>0</v>
      </c>
      <c r="R56" s="1231">
        <f t="shared" si="18"/>
        <v>0</v>
      </c>
      <c r="S56" s="1231">
        <f t="shared" si="18"/>
        <v>0</v>
      </c>
      <c r="T56" s="1231">
        <f t="shared" si="18"/>
        <v>0</v>
      </c>
      <c r="U56" s="1231">
        <f t="shared" si="18"/>
        <v>0</v>
      </c>
      <c r="V56" s="1231">
        <f t="shared" si="18"/>
        <v>0</v>
      </c>
      <c r="W56" s="1231">
        <f t="shared" si="18"/>
        <v>0</v>
      </c>
      <c r="X56" s="1231">
        <f t="shared" si="18"/>
        <v>273.59999999999997</v>
      </c>
      <c r="Y56" s="1231"/>
      <c r="Z56" s="1202"/>
      <c r="AA56" s="1203"/>
    </row>
    <row r="57" spans="1:27" s="1214" customFormat="1" ht="25.5">
      <c r="A57" s="1208" t="s">
        <v>81</v>
      </c>
      <c r="B57" s="1206" t="s">
        <v>382</v>
      </c>
      <c r="C57" s="1206" t="s">
        <v>382</v>
      </c>
      <c r="D57" s="1205" t="s">
        <v>69</v>
      </c>
      <c r="E57" s="1276">
        <v>0.56999999999999995</v>
      </c>
      <c r="F57" s="1210">
        <f>+E57*800</f>
        <v>455.99999999999994</v>
      </c>
      <c r="G57" s="1210">
        <f>+H57+M57</f>
        <v>182.39999999999998</v>
      </c>
      <c r="H57" s="1210">
        <f>+J57+K57+L57</f>
        <v>0</v>
      </c>
      <c r="I57" s="1210"/>
      <c r="J57" s="1210"/>
      <c r="K57" s="1210"/>
      <c r="L57" s="1210"/>
      <c r="M57" s="1210">
        <f>+N57+O57+P57</f>
        <v>182.39999999999998</v>
      </c>
      <c r="N57" s="1210">
        <f>+F57*0.4</f>
        <v>182.39999999999998</v>
      </c>
      <c r="O57" s="1210"/>
      <c r="P57" s="1210"/>
      <c r="Q57" s="1210"/>
      <c r="R57" s="1210"/>
      <c r="S57" s="1210"/>
      <c r="T57" s="1210"/>
      <c r="U57" s="1210"/>
      <c r="V57" s="1210"/>
      <c r="W57" s="1210"/>
      <c r="X57" s="1210">
        <f>+F57-N57</f>
        <v>273.59999999999997</v>
      </c>
      <c r="Y57" s="1236"/>
      <c r="Z57" s="1212"/>
      <c r="AA57" s="1235"/>
    </row>
    <row r="58" spans="1:27" s="1219" customFormat="1">
      <c r="A58" s="1190">
        <v>3</v>
      </c>
      <c r="B58" s="1215" t="s">
        <v>75</v>
      </c>
      <c r="C58" s="1215" t="s">
        <v>75</v>
      </c>
      <c r="D58" s="1190" t="s">
        <v>71</v>
      </c>
      <c r="E58" s="1216"/>
      <c r="F58" s="1231">
        <f>+F59+F63+F65</f>
        <v>8796</v>
      </c>
      <c r="G58" s="1231">
        <f t="shared" ref="G58:X58" si="19">+G59+G63+G65</f>
        <v>6620</v>
      </c>
      <c r="H58" s="1231">
        <f t="shared" si="19"/>
        <v>2892</v>
      </c>
      <c r="I58" s="1231">
        <f t="shared" si="19"/>
        <v>0</v>
      </c>
      <c r="J58" s="1231">
        <f t="shared" si="19"/>
        <v>0</v>
      </c>
      <c r="K58" s="1231">
        <f t="shared" si="19"/>
        <v>1944</v>
      </c>
      <c r="L58" s="1231">
        <f t="shared" si="19"/>
        <v>948</v>
      </c>
      <c r="M58" s="1231">
        <f t="shared" si="19"/>
        <v>3728</v>
      </c>
      <c r="N58" s="1231">
        <f t="shared" si="19"/>
        <v>0</v>
      </c>
      <c r="O58" s="1231">
        <f t="shared" si="19"/>
        <v>0</v>
      </c>
      <c r="P58" s="1231">
        <f t="shared" si="19"/>
        <v>3728</v>
      </c>
      <c r="Q58" s="1231">
        <f t="shared" si="19"/>
        <v>0</v>
      </c>
      <c r="R58" s="1231">
        <f t="shared" si="19"/>
        <v>0</v>
      </c>
      <c r="S58" s="1231">
        <f t="shared" si="19"/>
        <v>0</v>
      </c>
      <c r="T58" s="1231">
        <f t="shared" si="19"/>
        <v>0</v>
      </c>
      <c r="U58" s="1231">
        <f t="shared" si="19"/>
        <v>0</v>
      </c>
      <c r="V58" s="1231">
        <f t="shared" si="19"/>
        <v>0</v>
      </c>
      <c r="W58" s="1231">
        <f t="shared" si="19"/>
        <v>0</v>
      </c>
      <c r="X58" s="1231">
        <f t="shared" si="19"/>
        <v>0</v>
      </c>
      <c r="Y58" s="1231"/>
      <c r="Z58" s="1202"/>
      <c r="AA58" s="1237"/>
    </row>
    <row r="59" spans="1:27" s="1219" customFormat="1">
      <c r="A59" s="1190" t="s">
        <v>189</v>
      </c>
      <c r="B59" s="1215" t="s">
        <v>1118</v>
      </c>
      <c r="C59" s="1215"/>
      <c r="D59" s="1190"/>
      <c r="E59" s="1216"/>
      <c r="F59" s="1231">
        <f>SUM(F60:F62)</f>
        <v>1500</v>
      </c>
      <c r="G59" s="1231">
        <f t="shared" ref="G59:X59" si="20">SUM(G60:G62)</f>
        <v>1500</v>
      </c>
      <c r="H59" s="1231">
        <f t="shared" si="20"/>
        <v>0</v>
      </c>
      <c r="I59" s="1231">
        <f t="shared" si="20"/>
        <v>0</v>
      </c>
      <c r="J59" s="1231">
        <f t="shared" si="20"/>
        <v>0</v>
      </c>
      <c r="K59" s="1231">
        <f t="shared" si="20"/>
        <v>0</v>
      </c>
      <c r="L59" s="1231">
        <f t="shared" si="20"/>
        <v>0</v>
      </c>
      <c r="M59" s="1231">
        <f t="shared" si="20"/>
        <v>1500</v>
      </c>
      <c r="N59" s="1231">
        <f t="shared" si="20"/>
        <v>0</v>
      </c>
      <c r="O59" s="1231">
        <f t="shared" si="20"/>
        <v>0</v>
      </c>
      <c r="P59" s="1231">
        <f t="shared" si="20"/>
        <v>1500</v>
      </c>
      <c r="Q59" s="1231">
        <f t="shared" si="20"/>
        <v>0</v>
      </c>
      <c r="R59" s="1231">
        <f t="shared" si="20"/>
        <v>0</v>
      </c>
      <c r="S59" s="1231">
        <f t="shared" si="20"/>
        <v>0</v>
      </c>
      <c r="T59" s="1231">
        <f t="shared" si="20"/>
        <v>0</v>
      </c>
      <c r="U59" s="1231">
        <f t="shared" si="20"/>
        <v>0</v>
      </c>
      <c r="V59" s="1231">
        <f t="shared" si="20"/>
        <v>0</v>
      </c>
      <c r="W59" s="1231">
        <f t="shared" si="20"/>
        <v>0</v>
      </c>
      <c r="X59" s="1231">
        <f t="shared" si="20"/>
        <v>0</v>
      </c>
      <c r="Y59" s="1231"/>
      <c r="Z59" s="1202"/>
      <c r="AA59" s="1237"/>
    </row>
    <row r="60" spans="1:27" s="1266" customFormat="1" ht="47.25" customHeight="1">
      <c r="A60" s="1256" t="s">
        <v>81</v>
      </c>
      <c r="B60" s="1257" t="s">
        <v>1119</v>
      </c>
      <c r="C60" s="1258" t="s">
        <v>1120</v>
      </c>
      <c r="D60" s="1259" t="s">
        <v>71</v>
      </c>
      <c r="E60" s="1269">
        <v>1</v>
      </c>
      <c r="F60" s="1261">
        <v>500</v>
      </c>
      <c r="G60" s="1262">
        <f>+H60+M60</f>
        <v>500</v>
      </c>
      <c r="H60" s="1262">
        <f>+SUM(I60:L60)</f>
        <v>0</v>
      </c>
      <c r="I60" s="1262"/>
      <c r="J60" s="1262"/>
      <c r="K60" s="1262"/>
      <c r="L60" s="1262"/>
      <c r="M60" s="1262">
        <f>+N60+O60+P60</f>
        <v>500</v>
      </c>
      <c r="N60" s="1262"/>
      <c r="O60" s="1262"/>
      <c r="P60" s="1262">
        <f>+F60*1</f>
        <v>500</v>
      </c>
      <c r="Q60" s="1262"/>
      <c r="R60" s="1262"/>
      <c r="S60" s="1262"/>
      <c r="T60" s="1262"/>
      <c r="U60" s="1262"/>
      <c r="V60" s="1262"/>
      <c r="W60" s="1262"/>
      <c r="X60" s="1262"/>
      <c r="Y60" s="1268"/>
      <c r="Z60" s="1264"/>
      <c r="AA60" s="1270"/>
    </row>
    <row r="61" spans="1:27" s="1266" customFormat="1" ht="47.25" customHeight="1">
      <c r="A61" s="1256" t="s">
        <v>81</v>
      </c>
      <c r="B61" s="1257" t="s">
        <v>1121</v>
      </c>
      <c r="C61" s="1258" t="s">
        <v>1120</v>
      </c>
      <c r="D61" s="1259" t="s">
        <v>71</v>
      </c>
      <c r="E61" s="1269">
        <v>1</v>
      </c>
      <c r="F61" s="1261">
        <v>500</v>
      </c>
      <c r="G61" s="1262">
        <f>+H61+M61</f>
        <v>500</v>
      </c>
      <c r="H61" s="1262">
        <f>+SUM(I61:L61)</f>
        <v>0</v>
      </c>
      <c r="I61" s="1262"/>
      <c r="J61" s="1262"/>
      <c r="K61" s="1262"/>
      <c r="L61" s="1262"/>
      <c r="M61" s="1262">
        <f>+N61+O61+P61</f>
        <v>500</v>
      </c>
      <c r="N61" s="1262"/>
      <c r="O61" s="1262"/>
      <c r="P61" s="1262">
        <f>+F61*1</f>
        <v>500</v>
      </c>
      <c r="Q61" s="1262"/>
      <c r="R61" s="1262"/>
      <c r="S61" s="1262"/>
      <c r="T61" s="1262"/>
      <c r="U61" s="1262"/>
      <c r="V61" s="1262"/>
      <c r="W61" s="1262"/>
      <c r="X61" s="1262"/>
      <c r="Y61" s="1268"/>
      <c r="Z61" s="1264"/>
      <c r="AA61" s="1270"/>
    </row>
    <row r="62" spans="1:27" s="1214" customFormat="1" ht="47.25" customHeight="1">
      <c r="A62" s="1208" t="s">
        <v>81</v>
      </c>
      <c r="B62" s="1245" t="s">
        <v>1122</v>
      </c>
      <c r="C62" s="1206" t="s">
        <v>1120</v>
      </c>
      <c r="D62" s="1205" t="s">
        <v>71</v>
      </c>
      <c r="E62" s="1222">
        <v>1</v>
      </c>
      <c r="F62" s="1240">
        <v>500</v>
      </c>
      <c r="G62" s="1210">
        <f>+H62+M62</f>
        <v>500</v>
      </c>
      <c r="H62" s="1210">
        <f>+SUM(I62:L62)</f>
        <v>0</v>
      </c>
      <c r="I62" s="1210"/>
      <c r="J62" s="1210"/>
      <c r="K62" s="1210"/>
      <c r="L62" s="1210"/>
      <c r="M62" s="1210">
        <f>+N62+O62+P62</f>
        <v>500</v>
      </c>
      <c r="N62" s="1210"/>
      <c r="O62" s="1210"/>
      <c r="P62" s="1210">
        <f>+F62*1</f>
        <v>500</v>
      </c>
      <c r="Q62" s="1210"/>
      <c r="R62" s="1210"/>
      <c r="S62" s="1210"/>
      <c r="T62" s="1210"/>
      <c r="U62" s="1210"/>
      <c r="V62" s="1210"/>
      <c r="W62" s="1210"/>
      <c r="X62" s="1210"/>
      <c r="Y62" s="1211"/>
      <c r="Z62" s="1212"/>
      <c r="AA62" s="1235"/>
    </row>
    <row r="63" spans="1:27" s="1214" customFormat="1" ht="18" customHeight="1">
      <c r="A63" s="1208" t="s">
        <v>190</v>
      </c>
      <c r="B63" s="1245" t="s">
        <v>1123</v>
      </c>
      <c r="C63" s="1206"/>
      <c r="D63" s="1205"/>
      <c r="E63" s="1222"/>
      <c r="F63" s="1240">
        <f>+F64</f>
        <v>2976</v>
      </c>
      <c r="G63" s="1240">
        <f t="shared" ref="G63:X63" si="21">+G64</f>
        <v>800</v>
      </c>
      <c r="H63" s="1240">
        <f t="shared" si="21"/>
        <v>300</v>
      </c>
      <c r="I63" s="1240">
        <f t="shared" si="21"/>
        <v>0</v>
      </c>
      <c r="J63" s="1240">
        <f t="shared" si="21"/>
        <v>0</v>
      </c>
      <c r="K63" s="1240">
        <f t="shared" si="21"/>
        <v>0</v>
      </c>
      <c r="L63" s="1240">
        <f t="shared" si="21"/>
        <v>300</v>
      </c>
      <c r="M63" s="1240">
        <f t="shared" si="21"/>
        <v>500</v>
      </c>
      <c r="N63" s="1240">
        <f t="shared" si="21"/>
        <v>0</v>
      </c>
      <c r="O63" s="1240">
        <f t="shared" si="21"/>
        <v>0</v>
      </c>
      <c r="P63" s="1240">
        <f t="shared" si="21"/>
        <v>500</v>
      </c>
      <c r="Q63" s="1240">
        <f t="shared" si="21"/>
        <v>0</v>
      </c>
      <c r="R63" s="1240">
        <f t="shared" si="21"/>
        <v>0</v>
      </c>
      <c r="S63" s="1240">
        <f t="shared" si="21"/>
        <v>0</v>
      </c>
      <c r="T63" s="1240">
        <f t="shared" si="21"/>
        <v>0</v>
      </c>
      <c r="U63" s="1240">
        <f t="shared" si="21"/>
        <v>0</v>
      </c>
      <c r="V63" s="1240">
        <f t="shared" si="21"/>
        <v>0</v>
      </c>
      <c r="W63" s="1240">
        <f t="shared" si="21"/>
        <v>0</v>
      </c>
      <c r="X63" s="1240">
        <f t="shared" si="21"/>
        <v>0</v>
      </c>
      <c r="Y63" s="1211"/>
      <c r="Z63" s="1212"/>
      <c r="AA63" s="1235"/>
    </row>
    <row r="64" spans="1:27" s="1214" customFormat="1" ht="29.25" customHeight="1">
      <c r="A64" s="1208"/>
      <c r="B64" s="1245" t="s">
        <v>1124</v>
      </c>
      <c r="C64" s="1206"/>
      <c r="D64" s="1205" t="s">
        <v>71</v>
      </c>
      <c r="E64" s="1222">
        <v>1</v>
      </c>
      <c r="F64" s="1240">
        <f>2976</f>
        <v>2976</v>
      </c>
      <c r="G64" s="1210">
        <f>+H64+M64</f>
        <v>800</v>
      </c>
      <c r="H64" s="1210">
        <f>+SUM(I64:L64)</f>
        <v>300</v>
      </c>
      <c r="I64" s="1210"/>
      <c r="J64" s="1210"/>
      <c r="K64" s="1210"/>
      <c r="L64" s="1210">
        <v>300</v>
      </c>
      <c r="M64" s="1210">
        <f>+N64+O64+P64</f>
        <v>500</v>
      </c>
      <c r="N64" s="1210"/>
      <c r="O64" s="1210"/>
      <c r="P64" s="1210">
        <v>500</v>
      </c>
      <c r="Q64" s="1210"/>
      <c r="R64" s="1210"/>
      <c r="S64" s="1210"/>
      <c r="T64" s="1210"/>
      <c r="U64" s="1210"/>
      <c r="V64" s="1210"/>
      <c r="W64" s="1210"/>
      <c r="X64" s="1210"/>
      <c r="Y64" s="1211"/>
      <c r="Z64" s="1212"/>
      <c r="AA64" s="1235"/>
    </row>
    <row r="65" spans="1:27" s="1219" customFormat="1" ht="21.6" customHeight="1">
      <c r="A65" s="1229" t="s">
        <v>421</v>
      </c>
      <c r="B65" s="1215" t="s">
        <v>1125</v>
      </c>
      <c r="C65" s="1215"/>
      <c r="D65" s="1190"/>
      <c r="E65" s="1216"/>
      <c r="F65" s="1231">
        <f>+F66</f>
        <v>4320</v>
      </c>
      <c r="G65" s="1231">
        <f t="shared" ref="G65:X65" si="22">+G66</f>
        <v>4320</v>
      </c>
      <c r="H65" s="1231">
        <f t="shared" si="22"/>
        <v>2592</v>
      </c>
      <c r="I65" s="1231">
        <f t="shared" si="22"/>
        <v>0</v>
      </c>
      <c r="J65" s="1231">
        <f t="shared" si="22"/>
        <v>0</v>
      </c>
      <c r="K65" s="1231">
        <f t="shared" si="22"/>
        <v>1944</v>
      </c>
      <c r="L65" s="1231">
        <f t="shared" si="22"/>
        <v>648</v>
      </c>
      <c r="M65" s="1231">
        <f t="shared" si="22"/>
        <v>1728</v>
      </c>
      <c r="N65" s="1231">
        <f t="shared" si="22"/>
        <v>0</v>
      </c>
      <c r="O65" s="1231">
        <f t="shared" si="22"/>
        <v>0</v>
      </c>
      <c r="P65" s="1231">
        <f t="shared" si="22"/>
        <v>1728</v>
      </c>
      <c r="Q65" s="1231">
        <f t="shared" si="22"/>
        <v>0</v>
      </c>
      <c r="R65" s="1231">
        <f t="shared" si="22"/>
        <v>0</v>
      </c>
      <c r="S65" s="1231">
        <f t="shared" si="22"/>
        <v>0</v>
      </c>
      <c r="T65" s="1231">
        <f t="shared" si="22"/>
        <v>0</v>
      </c>
      <c r="U65" s="1231">
        <f t="shared" si="22"/>
        <v>0</v>
      </c>
      <c r="V65" s="1231">
        <f t="shared" si="22"/>
        <v>0</v>
      </c>
      <c r="W65" s="1231">
        <f t="shared" si="22"/>
        <v>0</v>
      </c>
      <c r="X65" s="1231">
        <f t="shared" si="22"/>
        <v>0</v>
      </c>
      <c r="Y65" s="1218"/>
      <c r="Z65" s="1202"/>
      <c r="AA65" s="1237"/>
    </row>
    <row r="66" spans="1:27" s="1266" customFormat="1" ht="25.7" customHeight="1">
      <c r="A66" s="1256" t="s">
        <v>81</v>
      </c>
      <c r="B66" s="1258" t="s">
        <v>1126</v>
      </c>
      <c r="C66" s="1258"/>
      <c r="D66" s="1259" t="s">
        <v>71</v>
      </c>
      <c r="E66" s="1260">
        <v>1</v>
      </c>
      <c r="F66" s="1261">
        <f>8*90*6</f>
        <v>4320</v>
      </c>
      <c r="G66" s="1262">
        <f>+H66+M66</f>
        <v>4320</v>
      </c>
      <c r="H66" s="1262">
        <f>+SUM(I66:L66)</f>
        <v>2592</v>
      </c>
      <c r="I66" s="1262"/>
      <c r="J66" s="1262"/>
      <c r="K66" s="1262">
        <f>+F66*0.45</f>
        <v>1944</v>
      </c>
      <c r="L66" s="1262">
        <f>+F66-K66-P66</f>
        <v>648</v>
      </c>
      <c r="M66" s="1262">
        <f>+N66+O66+P66</f>
        <v>1728</v>
      </c>
      <c r="N66" s="1262"/>
      <c r="O66" s="1262"/>
      <c r="P66" s="1262">
        <f>+F66*0.4</f>
        <v>1728</v>
      </c>
      <c r="Q66" s="1262"/>
      <c r="R66" s="1262"/>
      <c r="S66" s="1262"/>
      <c r="T66" s="1262"/>
      <c r="U66" s="1262"/>
      <c r="V66" s="1262"/>
      <c r="W66" s="1262"/>
      <c r="X66" s="1262"/>
      <c r="Y66" s="1271"/>
      <c r="Z66" s="1264"/>
      <c r="AA66" s="1270"/>
    </row>
    <row r="67" spans="1:27" s="1219" customFormat="1">
      <c r="A67" s="1229">
        <v>4</v>
      </c>
      <c r="B67" s="1215" t="s">
        <v>83</v>
      </c>
      <c r="C67" s="1215" t="s">
        <v>83</v>
      </c>
      <c r="D67" s="1190"/>
      <c r="E67" s="1216"/>
      <c r="F67" s="1231">
        <f>F68</f>
        <v>600</v>
      </c>
      <c r="G67" s="1231">
        <f t="shared" ref="G67:W67" si="23">G68</f>
        <v>600</v>
      </c>
      <c r="H67" s="1231">
        <f t="shared" si="23"/>
        <v>600</v>
      </c>
      <c r="I67" s="1231">
        <f t="shared" si="23"/>
        <v>0</v>
      </c>
      <c r="J67" s="1231">
        <f t="shared" si="23"/>
        <v>0</v>
      </c>
      <c r="K67" s="1231">
        <f t="shared" si="23"/>
        <v>0</v>
      </c>
      <c r="L67" s="1231">
        <f t="shared" si="23"/>
        <v>600</v>
      </c>
      <c r="M67" s="1231">
        <f t="shared" si="23"/>
        <v>0</v>
      </c>
      <c r="N67" s="1231">
        <f t="shared" si="23"/>
        <v>0</v>
      </c>
      <c r="O67" s="1231">
        <f t="shared" si="23"/>
        <v>0</v>
      </c>
      <c r="P67" s="1231">
        <f t="shared" si="23"/>
        <v>0</v>
      </c>
      <c r="Q67" s="1231">
        <f t="shared" si="23"/>
        <v>0</v>
      </c>
      <c r="R67" s="1231">
        <f t="shared" si="23"/>
        <v>0</v>
      </c>
      <c r="S67" s="1231">
        <f t="shared" si="23"/>
        <v>0</v>
      </c>
      <c r="T67" s="1231">
        <f t="shared" si="23"/>
        <v>0</v>
      </c>
      <c r="U67" s="1231">
        <f t="shared" si="23"/>
        <v>0</v>
      </c>
      <c r="V67" s="1231">
        <f t="shared" si="23"/>
        <v>0</v>
      </c>
      <c r="W67" s="1231">
        <f t="shared" si="23"/>
        <v>0</v>
      </c>
      <c r="X67" s="1241"/>
      <c r="Y67" s="1231"/>
      <c r="Z67" s="1202"/>
      <c r="AA67" s="1237"/>
    </row>
    <row r="68" spans="1:27" s="1266" customFormat="1" ht="18" customHeight="1">
      <c r="A68" s="1256"/>
      <c r="B68" s="1258" t="s">
        <v>383</v>
      </c>
      <c r="C68" s="1258" t="s">
        <v>383</v>
      </c>
      <c r="D68" s="1259" t="s">
        <v>71</v>
      </c>
      <c r="E68" s="1269">
        <v>1</v>
      </c>
      <c r="F68" s="1261">
        <v>600</v>
      </c>
      <c r="G68" s="1261">
        <f>H68+M68</f>
        <v>600</v>
      </c>
      <c r="H68" s="1261">
        <f>I68+L68</f>
        <v>600</v>
      </c>
      <c r="I68" s="1261">
        <f>SUM(J68:K68)</f>
        <v>0</v>
      </c>
      <c r="J68" s="1261"/>
      <c r="K68" s="1261"/>
      <c r="L68" s="1261">
        <f>+F68</f>
        <v>600</v>
      </c>
      <c r="M68" s="1261">
        <f>O68+N68</f>
        <v>0</v>
      </c>
      <c r="N68" s="1261"/>
      <c r="O68" s="1261"/>
      <c r="P68" s="1261"/>
      <c r="Q68" s="1261">
        <f>R68+S68</f>
        <v>0</v>
      </c>
      <c r="R68" s="1261"/>
      <c r="S68" s="1261"/>
      <c r="T68" s="1261"/>
      <c r="U68" s="1261"/>
      <c r="V68" s="1261"/>
      <c r="W68" s="1261"/>
      <c r="X68" s="1282"/>
      <c r="Y68" s="1283"/>
      <c r="Z68" s="1264"/>
      <c r="AA68" s="1270"/>
    </row>
    <row r="69" spans="1:27" s="1266" customFormat="1">
      <c r="A69" s="1256">
        <v>5</v>
      </c>
      <c r="B69" s="1258" t="s">
        <v>1106</v>
      </c>
      <c r="C69" s="1258" t="s">
        <v>1106</v>
      </c>
      <c r="D69" s="1259" t="s">
        <v>1107</v>
      </c>
      <c r="E69" s="1269">
        <v>40</v>
      </c>
      <c r="F69" s="1261">
        <f>+E69*5</f>
        <v>200</v>
      </c>
      <c r="G69" s="1261">
        <f>H69+M69</f>
        <v>200</v>
      </c>
      <c r="H69" s="1261">
        <f>I69+L69</f>
        <v>200</v>
      </c>
      <c r="I69" s="1261">
        <f>+F69</f>
        <v>200</v>
      </c>
      <c r="J69" s="1261"/>
      <c r="K69" s="1261"/>
      <c r="L69" s="1261"/>
      <c r="M69" s="1261">
        <f>O69+N69</f>
        <v>0</v>
      </c>
      <c r="N69" s="1261"/>
      <c r="O69" s="1261"/>
      <c r="P69" s="1261"/>
      <c r="Q69" s="1261"/>
      <c r="R69" s="1261"/>
      <c r="S69" s="1261"/>
      <c r="T69" s="1261"/>
      <c r="U69" s="1261"/>
      <c r="V69" s="1261"/>
      <c r="W69" s="1261"/>
      <c r="X69" s="1262"/>
      <c r="Y69" s="1268"/>
      <c r="Z69" s="1264"/>
      <c r="AA69" s="1265"/>
    </row>
    <row r="70" spans="1:27" s="1219" customFormat="1" ht="20.45" customHeight="1">
      <c r="A70" s="1189" t="s">
        <v>82</v>
      </c>
      <c r="B70" s="1199" t="s">
        <v>1127</v>
      </c>
      <c r="C70" s="1199" t="s">
        <v>381</v>
      </c>
      <c r="D70" s="1189" t="s">
        <v>103</v>
      </c>
      <c r="E70" s="1239"/>
      <c r="F70" s="1196">
        <f>+F71+F72+F74+F83+F85</f>
        <v>13653.5</v>
      </c>
      <c r="G70" s="1196">
        <f t="shared" ref="G70:X70" si="24">+G71+G72+G74+G83+G85</f>
        <v>14682</v>
      </c>
      <c r="H70" s="1196">
        <f t="shared" si="24"/>
        <v>7692.2</v>
      </c>
      <c r="I70" s="1196">
        <f t="shared" si="24"/>
        <v>200</v>
      </c>
      <c r="J70" s="1196">
        <f t="shared" si="24"/>
        <v>0</v>
      </c>
      <c r="K70" s="1196">
        <f t="shared" si="24"/>
        <v>6566.4</v>
      </c>
      <c r="L70" s="1196">
        <f t="shared" si="24"/>
        <v>3517.7999999999997</v>
      </c>
      <c r="M70" s="1196">
        <f t="shared" si="24"/>
        <v>9717.7999999999993</v>
      </c>
      <c r="N70" s="1196">
        <f t="shared" si="24"/>
        <v>0</v>
      </c>
      <c r="O70" s="1196">
        <f t="shared" si="24"/>
        <v>381</v>
      </c>
      <c r="P70" s="1196">
        <f t="shared" si="24"/>
        <v>9336.7999999999993</v>
      </c>
      <c r="Q70" s="1196">
        <f t="shared" si="24"/>
        <v>0</v>
      </c>
      <c r="R70" s="1196">
        <f t="shared" si="24"/>
        <v>0</v>
      </c>
      <c r="S70" s="1196">
        <f t="shared" si="24"/>
        <v>0</v>
      </c>
      <c r="T70" s="1196">
        <f t="shared" si="24"/>
        <v>0</v>
      </c>
      <c r="U70" s="1196">
        <f t="shared" si="24"/>
        <v>0</v>
      </c>
      <c r="V70" s="1196">
        <f t="shared" si="24"/>
        <v>0</v>
      </c>
      <c r="W70" s="1196">
        <f t="shared" si="24"/>
        <v>0</v>
      </c>
      <c r="X70" s="1196">
        <f t="shared" si="24"/>
        <v>571.5</v>
      </c>
      <c r="Y70" s="1196"/>
      <c r="Z70" s="1202"/>
      <c r="AA70" s="1203"/>
    </row>
    <row r="71" spans="1:27" s="1214" customFormat="1">
      <c r="A71" s="1208">
        <v>1</v>
      </c>
      <c r="B71" s="1206" t="s">
        <v>369</v>
      </c>
      <c r="C71" s="1206" t="s">
        <v>369</v>
      </c>
      <c r="D71" s="1205" t="s">
        <v>71</v>
      </c>
      <c r="E71" s="1205">
        <v>1</v>
      </c>
      <c r="F71" s="1210">
        <v>129</v>
      </c>
      <c r="G71" s="1210">
        <f>+H71+M71</f>
        <v>129</v>
      </c>
      <c r="H71" s="1210">
        <f>+SUM(I71:L71)</f>
        <v>129</v>
      </c>
      <c r="I71" s="1210"/>
      <c r="J71" s="1210"/>
      <c r="K71" s="1210"/>
      <c r="L71" s="1210">
        <f>+F71</f>
        <v>129</v>
      </c>
      <c r="M71" s="1210">
        <f>+N71+O71+P71</f>
        <v>0</v>
      </c>
      <c r="N71" s="1210"/>
      <c r="O71" s="1210"/>
      <c r="P71" s="1210"/>
      <c r="Q71" s="1211"/>
      <c r="R71" s="1211"/>
      <c r="S71" s="1240"/>
      <c r="T71" s="1240"/>
      <c r="U71" s="1240"/>
      <c r="V71" s="1240"/>
      <c r="W71" s="1240"/>
      <c r="X71" s="1240"/>
      <c r="Y71" s="1236"/>
      <c r="Z71" s="1212"/>
      <c r="AA71" s="1213"/>
    </row>
    <row r="72" spans="1:27" s="1219" customFormat="1">
      <c r="A72" s="1190">
        <v>2</v>
      </c>
      <c r="B72" s="1215" t="s">
        <v>29</v>
      </c>
      <c r="C72" s="1215" t="s">
        <v>29</v>
      </c>
      <c r="D72" s="1190" t="s">
        <v>69</v>
      </c>
      <c r="E72" s="1216"/>
      <c r="F72" s="1231">
        <f t="shared" ref="F72:X72" si="25">SUM(F73:F73)</f>
        <v>952.5</v>
      </c>
      <c r="G72" s="1231">
        <f t="shared" si="25"/>
        <v>381</v>
      </c>
      <c r="H72" s="1231">
        <f t="shared" si="25"/>
        <v>0</v>
      </c>
      <c r="I72" s="1231">
        <f t="shared" si="25"/>
        <v>0</v>
      </c>
      <c r="J72" s="1231">
        <f t="shared" si="25"/>
        <v>0</v>
      </c>
      <c r="K72" s="1231">
        <f t="shared" si="25"/>
        <v>0</v>
      </c>
      <c r="L72" s="1231">
        <f t="shared" si="25"/>
        <v>0</v>
      </c>
      <c r="M72" s="1231">
        <f t="shared" si="25"/>
        <v>381</v>
      </c>
      <c r="N72" s="1231">
        <f t="shared" si="25"/>
        <v>0</v>
      </c>
      <c r="O72" s="1231">
        <f t="shared" si="25"/>
        <v>381</v>
      </c>
      <c r="P72" s="1231">
        <f t="shared" si="25"/>
        <v>0</v>
      </c>
      <c r="Q72" s="1231">
        <f t="shared" si="25"/>
        <v>0</v>
      </c>
      <c r="R72" s="1231">
        <f t="shared" si="25"/>
        <v>0</v>
      </c>
      <c r="S72" s="1231">
        <f t="shared" si="25"/>
        <v>0</v>
      </c>
      <c r="T72" s="1231">
        <f t="shared" si="25"/>
        <v>0</v>
      </c>
      <c r="U72" s="1231">
        <f t="shared" si="25"/>
        <v>0</v>
      </c>
      <c r="V72" s="1231">
        <f t="shared" si="25"/>
        <v>0</v>
      </c>
      <c r="W72" s="1231">
        <f t="shared" si="25"/>
        <v>0</v>
      </c>
      <c r="X72" s="1231">
        <f t="shared" si="25"/>
        <v>571.5</v>
      </c>
      <c r="Y72" s="1231"/>
      <c r="Z72" s="1202"/>
      <c r="AA72" s="1203"/>
    </row>
    <row r="73" spans="1:27" s="1219" customFormat="1">
      <c r="A73" s="1229" t="s">
        <v>81</v>
      </c>
      <c r="B73" s="1215" t="s">
        <v>181</v>
      </c>
      <c r="C73" s="1215" t="s">
        <v>181</v>
      </c>
      <c r="D73" s="1190" t="s">
        <v>69</v>
      </c>
      <c r="E73" s="1216">
        <v>1.5</v>
      </c>
      <c r="F73" s="1232">
        <f>+E73*635</f>
        <v>952.5</v>
      </c>
      <c r="G73" s="1232">
        <f>+H73+M73</f>
        <v>381</v>
      </c>
      <c r="H73" s="1232">
        <f>+J73+K73+L73</f>
        <v>0</v>
      </c>
      <c r="I73" s="1232"/>
      <c r="J73" s="1232"/>
      <c r="K73" s="1232"/>
      <c r="L73" s="1232"/>
      <c r="M73" s="1232">
        <f>+N73+O73+P73</f>
        <v>381</v>
      </c>
      <c r="N73" s="1232"/>
      <c r="O73" s="1232">
        <f>+F73*0.4</f>
        <v>381</v>
      </c>
      <c r="P73" s="1232"/>
      <c r="Q73" s="1232"/>
      <c r="R73" s="1232"/>
      <c r="S73" s="1232"/>
      <c r="T73" s="1232"/>
      <c r="U73" s="1232"/>
      <c r="V73" s="1232"/>
      <c r="W73" s="1232"/>
      <c r="X73" s="1232">
        <f>+F73-O73</f>
        <v>571.5</v>
      </c>
      <c r="Y73" s="1238"/>
      <c r="Z73" s="1202"/>
      <c r="AA73" s="1237"/>
    </row>
    <row r="74" spans="1:27" s="1219" customFormat="1">
      <c r="A74" s="1190">
        <v>3</v>
      </c>
      <c r="B74" s="1215" t="s">
        <v>75</v>
      </c>
      <c r="C74" s="1215" t="s">
        <v>75</v>
      </c>
      <c r="D74" s="1190" t="s">
        <v>71</v>
      </c>
      <c r="E74" s="1216"/>
      <c r="F74" s="1231">
        <f>+F75+F77+F80</f>
        <v>11772</v>
      </c>
      <c r="G74" s="1231">
        <f t="shared" ref="G74:X74" si="26">SUM(G76:G82)</f>
        <v>13372</v>
      </c>
      <c r="H74" s="1231">
        <f t="shared" si="26"/>
        <v>6763.2</v>
      </c>
      <c r="I74" s="1231">
        <f t="shared" si="26"/>
        <v>0</v>
      </c>
      <c r="J74" s="1231">
        <f t="shared" si="26"/>
        <v>0</v>
      </c>
      <c r="K74" s="1231">
        <f t="shared" si="26"/>
        <v>6566.4</v>
      </c>
      <c r="L74" s="1231">
        <f t="shared" si="26"/>
        <v>2788.7999999999997</v>
      </c>
      <c r="M74" s="1231">
        <f t="shared" si="26"/>
        <v>9336.7999999999993</v>
      </c>
      <c r="N74" s="1231">
        <f t="shared" si="26"/>
        <v>0</v>
      </c>
      <c r="O74" s="1231">
        <f t="shared" si="26"/>
        <v>0</v>
      </c>
      <c r="P74" s="1231">
        <f t="shared" si="26"/>
        <v>9336.7999999999993</v>
      </c>
      <c r="Q74" s="1231">
        <f t="shared" si="26"/>
        <v>0</v>
      </c>
      <c r="R74" s="1231">
        <f t="shared" si="26"/>
        <v>0</v>
      </c>
      <c r="S74" s="1231">
        <f t="shared" si="26"/>
        <v>0</v>
      </c>
      <c r="T74" s="1231">
        <f t="shared" si="26"/>
        <v>0</v>
      </c>
      <c r="U74" s="1231">
        <f t="shared" si="26"/>
        <v>0</v>
      </c>
      <c r="V74" s="1231">
        <f t="shared" si="26"/>
        <v>0</v>
      </c>
      <c r="W74" s="1231">
        <f t="shared" si="26"/>
        <v>0</v>
      </c>
      <c r="X74" s="1231">
        <f t="shared" si="26"/>
        <v>0</v>
      </c>
      <c r="Y74" s="1231"/>
      <c r="Z74" s="1202"/>
      <c r="AA74" s="1237"/>
    </row>
    <row r="75" spans="1:27" s="1266" customFormat="1">
      <c r="A75" s="1259" t="s">
        <v>189</v>
      </c>
      <c r="B75" s="1258" t="s">
        <v>1128</v>
      </c>
      <c r="C75" s="1258"/>
      <c r="D75" s="1259"/>
      <c r="E75" s="1269"/>
      <c r="F75" s="1261">
        <f>+F76</f>
        <v>500</v>
      </c>
      <c r="G75" s="1261"/>
      <c r="H75" s="1261"/>
      <c r="I75" s="1261"/>
      <c r="J75" s="1261"/>
      <c r="K75" s="1261"/>
      <c r="L75" s="1261"/>
      <c r="M75" s="1261"/>
      <c r="N75" s="1261"/>
      <c r="O75" s="1261"/>
      <c r="P75" s="1261"/>
      <c r="Q75" s="1261"/>
      <c r="R75" s="1261"/>
      <c r="S75" s="1261"/>
      <c r="T75" s="1261"/>
      <c r="U75" s="1261"/>
      <c r="V75" s="1261"/>
      <c r="W75" s="1261"/>
      <c r="X75" s="1261"/>
      <c r="Y75" s="1261"/>
      <c r="Z75" s="1264"/>
      <c r="AA75" s="1270"/>
    </row>
    <row r="76" spans="1:27" s="1266" customFormat="1" ht="61.7" customHeight="1">
      <c r="A76" s="1256" t="s">
        <v>81</v>
      </c>
      <c r="B76" s="1257" t="s">
        <v>1129</v>
      </c>
      <c r="C76" s="1258" t="s">
        <v>1120</v>
      </c>
      <c r="D76" s="1259" t="s">
        <v>71</v>
      </c>
      <c r="E76" s="1269">
        <v>1</v>
      </c>
      <c r="F76" s="1261">
        <v>500</v>
      </c>
      <c r="G76" s="1262">
        <f>+H76+M76</f>
        <v>500</v>
      </c>
      <c r="H76" s="1262">
        <f>+SUM(I76:L76)</f>
        <v>0</v>
      </c>
      <c r="I76" s="1262"/>
      <c r="J76" s="1262"/>
      <c r="K76" s="1262"/>
      <c r="L76" s="1262"/>
      <c r="M76" s="1262">
        <f>+N76+O76+P76</f>
        <v>500</v>
      </c>
      <c r="N76" s="1262"/>
      <c r="O76" s="1262"/>
      <c r="P76" s="1262">
        <f>+F76*1</f>
        <v>500</v>
      </c>
      <c r="Q76" s="1262"/>
      <c r="R76" s="1262"/>
      <c r="S76" s="1262"/>
      <c r="T76" s="1262"/>
      <c r="U76" s="1262"/>
      <c r="V76" s="1262"/>
      <c r="W76" s="1262"/>
      <c r="X76" s="1262"/>
      <c r="Y76" s="1268"/>
      <c r="Z76" s="1264"/>
      <c r="AA76" s="1270"/>
    </row>
    <row r="77" spans="1:27" s="1266" customFormat="1" ht="18" customHeight="1">
      <c r="A77" s="1256" t="s">
        <v>190</v>
      </c>
      <c r="B77" s="1257" t="s">
        <v>1130</v>
      </c>
      <c r="C77" s="1258"/>
      <c r="D77" s="1259"/>
      <c r="E77" s="1269"/>
      <c r="F77" s="1261">
        <f>F78+F79</f>
        <v>5952</v>
      </c>
      <c r="G77" s="1261">
        <f>G78+G79</f>
        <v>3776</v>
      </c>
      <c r="H77" s="1261">
        <f>H78+H79</f>
        <v>2085.6</v>
      </c>
      <c r="I77" s="1261">
        <f t="shared" ref="I77:X77" si="27">I78+I79</f>
        <v>0</v>
      </c>
      <c r="J77" s="1261">
        <f t="shared" si="27"/>
        <v>0</v>
      </c>
      <c r="K77" s="1261">
        <f t="shared" si="27"/>
        <v>1339.2</v>
      </c>
      <c r="L77" s="1261">
        <f>L78+L79</f>
        <v>746.39999999999986</v>
      </c>
      <c r="M77" s="1261">
        <f t="shared" si="27"/>
        <v>1690.4</v>
      </c>
      <c r="N77" s="1261">
        <f t="shared" si="27"/>
        <v>0</v>
      </c>
      <c r="O77" s="1261">
        <f t="shared" si="27"/>
        <v>0</v>
      </c>
      <c r="P77" s="1261">
        <f t="shared" si="27"/>
        <v>1690.4</v>
      </c>
      <c r="Q77" s="1261">
        <f t="shared" si="27"/>
        <v>0</v>
      </c>
      <c r="R77" s="1261">
        <f t="shared" si="27"/>
        <v>0</v>
      </c>
      <c r="S77" s="1261">
        <f t="shared" si="27"/>
        <v>0</v>
      </c>
      <c r="T77" s="1261">
        <f t="shared" si="27"/>
        <v>0</v>
      </c>
      <c r="U77" s="1261">
        <f t="shared" si="27"/>
        <v>0</v>
      </c>
      <c r="V77" s="1261">
        <f t="shared" si="27"/>
        <v>0</v>
      </c>
      <c r="W77" s="1261">
        <f t="shared" si="27"/>
        <v>0</v>
      </c>
      <c r="X77" s="1261">
        <f t="shared" si="27"/>
        <v>0</v>
      </c>
      <c r="Y77" s="1268"/>
      <c r="Z77" s="1264"/>
      <c r="AA77" s="1270"/>
    </row>
    <row r="78" spans="1:27" s="1266" customFormat="1" ht="51.6" customHeight="1">
      <c r="A78" s="1256"/>
      <c r="B78" s="1257" t="s">
        <v>1131</v>
      </c>
      <c r="C78" s="1258"/>
      <c r="D78" s="1259" t="s">
        <v>71</v>
      </c>
      <c r="E78" s="1269">
        <v>1</v>
      </c>
      <c r="F78" s="1261">
        <f>2976</f>
        <v>2976</v>
      </c>
      <c r="G78" s="1262">
        <f>+H78+M78</f>
        <v>2976</v>
      </c>
      <c r="H78" s="1262">
        <f>+SUM(I78:L78)</f>
        <v>1785.6</v>
      </c>
      <c r="I78" s="1262"/>
      <c r="J78" s="1262"/>
      <c r="K78" s="1262">
        <v>1339.2</v>
      </c>
      <c r="L78" s="1262">
        <v>446.39999999999986</v>
      </c>
      <c r="M78" s="1262">
        <f>+N78+O78+P78</f>
        <v>1190.4000000000001</v>
      </c>
      <c r="N78" s="1262"/>
      <c r="O78" s="1262"/>
      <c r="P78" s="1262">
        <v>1190.4000000000001</v>
      </c>
      <c r="Q78" s="1262"/>
      <c r="R78" s="1262"/>
      <c r="S78" s="1262"/>
      <c r="T78" s="1262"/>
      <c r="U78" s="1262"/>
      <c r="V78" s="1262"/>
      <c r="W78" s="1262"/>
      <c r="X78" s="1262"/>
      <c r="Y78" s="1272"/>
      <c r="Z78" s="1264"/>
      <c r="AA78" s="1270"/>
    </row>
    <row r="79" spans="1:27" s="1266" customFormat="1" ht="25.5">
      <c r="A79" s="1256"/>
      <c r="B79" s="1257" t="s">
        <v>1132</v>
      </c>
      <c r="C79" s="1258"/>
      <c r="D79" s="1259" t="s">
        <v>71</v>
      </c>
      <c r="E79" s="1269">
        <v>1</v>
      </c>
      <c r="F79" s="1261">
        <f>2976</f>
        <v>2976</v>
      </c>
      <c r="G79" s="1262">
        <f>+H79+M79</f>
        <v>800</v>
      </c>
      <c r="H79" s="1262">
        <f>+SUM(I79:L79)</f>
        <v>300</v>
      </c>
      <c r="I79" s="1262"/>
      <c r="J79" s="1262"/>
      <c r="K79" s="1262"/>
      <c r="L79" s="1262">
        <v>300</v>
      </c>
      <c r="M79" s="1262">
        <f>+N79+O79+P79</f>
        <v>500</v>
      </c>
      <c r="N79" s="1262"/>
      <c r="O79" s="1262"/>
      <c r="P79" s="1262">
        <v>500</v>
      </c>
      <c r="Q79" s="1262"/>
      <c r="R79" s="1262"/>
      <c r="S79" s="1262"/>
      <c r="T79" s="1262"/>
      <c r="U79" s="1262"/>
      <c r="V79" s="1262"/>
      <c r="W79" s="1262"/>
      <c r="X79" s="1262"/>
      <c r="Y79" s="1268"/>
      <c r="Z79" s="1264"/>
      <c r="AA79" s="1270"/>
    </row>
    <row r="80" spans="1:27" s="1266" customFormat="1" ht="21.6" customHeight="1">
      <c r="A80" s="1256" t="s">
        <v>421</v>
      </c>
      <c r="B80" s="1258" t="s">
        <v>1133</v>
      </c>
      <c r="C80" s="1258"/>
      <c r="D80" s="1259"/>
      <c r="E80" s="1269"/>
      <c r="F80" s="1261">
        <f>+F81+F82</f>
        <v>5320</v>
      </c>
      <c r="G80" s="1262"/>
      <c r="H80" s="1262"/>
      <c r="I80" s="1262"/>
      <c r="J80" s="1262"/>
      <c r="K80" s="1262">
        <f t="shared" ref="K80:P80" si="28">K81+K82</f>
        <v>1944</v>
      </c>
      <c r="L80" s="1262">
        <f t="shared" si="28"/>
        <v>648</v>
      </c>
      <c r="M80" s="1262">
        <f t="shared" si="28"/>
        <v>2728</v>
      </c>
      <c r="N80" s="1262">
        <f t="shared" si="28"/>
        <v>0</v>
      </c>
      <c r="O80" s="1262">
        <f t="shared" si="28"/>
        <v>0</v>
      </c>
      <c r="P80" s="1262">
        <f t="shared" si="28"/>
        <v>2728</v>
      </c>
      <c r="Q80" s="1262"/>
      <c r="R80" s="1262"/>
      <c r="S80" s="1262"/>
      <c r="T80" s="1262"/>
      <c r="U80" s="1262"/>
      <c r="V80" s="1262"/>
      <c r="W80" s="1262"/>
      <c r="X80" s="1262"/>
      <c r="Y80" s="1268"/>
      <c r="Z80" s="1264"/>
      <c r="AA80" s="1270"/>
    </row>
    <row r="81" spans="1:27" s="1266" customFormat="1" ht="25.7" customHeight="1">
      <c r="A81" s="1256" t="s">
        <v>81</v>
      </c>
      <c r="B81" s="1258" t="s">
        <v>1134</v>
      </c>
      <c r="C81" s="1258"/>
      <c r="D81" s="1259" t="s">
        <v>71</v>
      </c>
      <c r="E81" s="1260">
        <v>1</v>
      </c>
      <c r="F81" s="1261">
        <f>8*90*6</f>
        <v>4320</v>
      </c>
      <c r="G81" s="1262">
        <f>+H81+M81</f>
        <v>4320</v>
      </c>
      <c r="H81" s="1262">
        <f>+SUM(I81:L81)</f>
        <v>2592</v>
      </c>
      <c r="I81" s="1262"/>
      <c r="J81" s="1262"/>
      <c r="K81" s="1262">
        <f>+F81*0.45</f>
        <v>1944</v>
      </c>
      <c r="L81" s="1262">
        <f>+F81-K81-P81</f>
        <v>648</v>
      </c>
      <c r="M81" s="1262">
        <f>+N81+O81+P81</f>
        <v>1728</v>
      </c>
      <c r="N81" s="1262"/>
      <c r="O81" s="1262"/>
      <c r="P81" s="1262">
        <f>+F81*0.4</f>
        <v>1728</v>
      </c>
      <c r="Q81" s="1262"/>
      <c r="R81" s="1262"/>
      <c r="S81" s="1262"/>
      <c r="T81" s="1262"/>
      <c r="U81" s="1262"/>
      <c r="V81" s="1262"/>
      <c r="W81" s="1262"/>
      <c r="X81" s="1262"/>
      <c r="Y81" s="1271"/>
      <c r="Z81" s="1264"/>
      <c r="AA81" s="1270"/>
    </row>
    <row r="82" spans="1:27" s="1266" customFormat="1" ht="28.7" customHeight="1">
      <c r="A82" s="1256" t="s">
        <v>81</v>
      </c>
      <c r="B82" s="1258" t="s">
        <v>1135</v>
      </c>
      <c r="C82" s="1258"/>
      <c r="D82" s="1259" t="s">
        <v>71</v>
      </c>
      <c r="E82" s="1260">
        <v>1</v>
      </c>
      <c r="F82" s="1261">
        <v>1000</v>
      </c>
      <c r="G82" s="1261">
        <f>H82+M82</f>
        <v>1000</v>
      </c>
      <c r="H82" s="1261">
        <f>I82+L82</f>
        <v>0</v>
      </c>
      <c r="I82" s="1261">
        <f>SUM(J82:K82)</f>
        <v>0</v>
      </c>
      <c r="J82" s="1261"/>
      <c r="K82" s="1261"/>
      <c r="L82" s="1261"/>
      <c r="M82" s="1262">
        <f>+N82+O82+P82</f>
        <v>1000</v>
      </c>
      <c r="N82" s="1261"/>
      <c r="O82" s="1261"/>
      <c r="P82" s="1261">
        <f>+F82</f>
        <v>1000</v>
      </c>
      <c r="Q82" s="1261"/>
      <c r="R82" s="1261"/>
      <c r="S82" s="1261"/>
      <c r="T82" s="1261"/>
      <c r="U82" s="1261"/>
      <c r="V82" s="1261"/>
      <c r="W82" s="1261"/>
      <c r="X82" s="1282"/>
      <c r="Y82" s="1268"/>
      <c r="Z82" s="1264"/>
      <c r="AA82" s="1270"/>
    </row>
    <row r="83" spans="1:27" s="1219" customFormat="1">
      <c r="A83" s="1229">
        <v>4</v>
      </c>
      <c r="B83" s="1215" t="s">
        <v>83</v>
      </c>
      <c r="C83" s="1215" t="s">
        <v>83</v>
      </c>
      <c r="D83" s="1190"/>
      <c r="E83" s="1216"/>
      <c r="F83" s="1231">
        <f>F84</f>
        <v>600</v>
      </c>
      <c r="G83" s="1231">
        <f t="shared" ref="G83:W83" si="29">G84</f>
        <v>600</v>
      </c>
      <c r="H83" s="1231">
        <f t="shared" si="29"/>
        <v>600</v>
      </c>
      <c r="I83" s="1231">
        <f t="shared" si="29"/>
        <v>0</v>
      </c>
      <c r="J83" s="1231">
        <f t="shared" si="29"/>
        <v>0</v>
      </c>
      <c r="K83" s="1231">
        <f t="shared" si="29"/>
        <v>0</v>
      </c>
      <c r="L83" s="1231">
        <f t="shared" si="29"/>
        <v>600</v>
      </c>
      <c r="M83" s="1231">
        <f t="shared" si="29"/>
        <v>0</v>
      </c>
      <c r="N83" s="1231">
        <f t="shared" si="29"/>
        <v>0</v>
      </c>
      <c r="O83" s="1231">
        <f t="shared" si="29"/>
        <v>0</v>
      </c>
      <c r="P83" s="1231">
        <f t="shared" si="29"/>
        <v>0</v>
      </c>
      <c r="Q83" s="1231">
        <f t="shared" si="29"/>
        <v>0</v>
      </c>
      <c r="R83" s="1231">
        <f t="shared" si="29"/>
        <v>0</v>
      </c>
      <c r="S83" s="1231">
        <f t="shared" si="29"/>
        <v>0</v>
      </c>
      <c r="T83" s="1231">
        <f t="shared" si="29"/>
        <v>0</v>
      </c>
      <c r="U83" s="1231">
        <f t="shared" si="29"/>
        <v>0</v>
      </c>
      <c r="V83" s="1231">
        <f t="shared" si="29"/>
        <v>0</v>
      </c>
      <c r="W83" s="1231">
        <f t="shared" si="29"/>
        <v>0</v>
      </c>
      <c r="X83" s="1241"/>
      <c r="Y83" s="1231"/>
      <c r="Z83" s="1202"/>
      <c r="AA83" s="1237"/>
    </row>
    <row r="84" spans="1:27" s="1266" customFormat="1">
      <c r="A84" s="1256"/>
      <c r="B84" s="1258" t="s">
        <v>383</v>
      </c>
      <c r="C84" s="1258" t="s">
        <v>383</v>
      </c>
      <c r="D84" s="1259" t="s">
        <v>71</v>
      </c>
      <c r="E84" s="1269">
        <v>1</v>
      </c>
      <c r="F84" s="1261">
        <v>600</v>
      </c>
      <c r="G84" s="1261">
        <f>H84+M84</f>
        <v>600</v>
      </c>
      <c r="H84" s="1261">
        <f>I84+L84</f>
        <v>600</v>
      </c>
      <c r="I84" s="1261">
        <f>SUM(J84:K84)</f>
        <v>0</v>
      </c>
      <c r="J84" s="1261"/>
      <c r="K84" s="1261"/>
      <c r="L84" s="1261">
        <f>+F84</f>
        <v>600</v>
      </c>
      <c r="M84" s="1261">
        <f>O84+N84</f>
        <v>0</v>
      </c>
      <c r="N84" s="1261"/>
      <c r="O84" s="1261"/>
      <c r="P84" s="1261"/>
      <c r="Q84" s="1261">
        <f>R84+S84</f>
        <v>0</v>
      </c>
      <c r="R84" s="1261"/>
      <c r="S84" s="1261"/>
      <c r="T84" s="1261"/>
      <c r="U84" s="1261"/>
      <c r="V84" s="1261"/>
      <c r="W84" s="1261"/>
      <c r="X84" s="1282"/>
      <c r="Y84" s="1283"/>
      <c r="Z84" s="1264"/>
      <c r="AA84" s="1270"/>
    </row>
    <row r="85" spans="1:27" s="1266" customFormat="1">
      <c r="A85" s="1256">
        <v>5</v>
      </c>
      <c r="B85" s="1258" t="s">
        <v>1106</v>
      </c>
      <c r="C85" s="1258" t="s">
        <v>1106</v>
      </c>
      <c r="D85" s="1259" t="s">
        <v>1107</v>
      </c>
      <c r="E85" s="1269">
        <v>40</v>
      </c>
      <c r="F85" s="1261">
        <f>+E85*5</f>
        <v>200</v>
      </c>
      <c r="G85" s="1261">
        <f>H85+M85</f>
        <v>200</v>
      </c>
      <c r="H85" s="1261">
        <f>I85+L85</f>
        <v>200</v>
      </c>
      <c r="I85" s="1261">
        <f>+F85</f>
        <v>200</v>
      </c>
      <c r="J85" s="1261"/>
      <c r="K85" s="1261"/>
      <c r="L85" s="1261"/>
      <c r="M85" s="1261">
        <f>O85+N85</f>
        <v>0</v>
      </c>
      <c r="N85" s="1261"/>
      <c r="O85" s="1261"/>
      <c r="P85" s="1261"/>
      <c r="Q85" s="1261"/>
      <c r="R85" s="1261"/>
      <c r="S85" s="1261"/>
      <c r="T85" s="1261"/>
      <c r="U85" s="1261"/>
      <c r="V85" s="1261"/>
      <c r="W85" s="1261"/>
      <c r="X85" s="1262"/>
      <c r="Y85" s="1268"/>
      <c r="Z85" s="1264"/>
      <c r="AA85" s="1265"/>
    </row>
    <row r="86" spans="1:27" s="1204" customFormat="1">
      <c r="A86" s="1189" t="s">
        <v>87</v>
      </c>
      <c r="B86" s="1242" t="s">
        <v>1136</v>
      </c>
      <c r="C86" s="1242" t="s">
        <v>396</v>
      </c>
      <c r="D86" s="1190"/>
      <c r="E86" s="1190"/>
      <c r="F86" s="1243">
        <f>+F87+F88+F94</f>
        <v>25777</v>
      </c>
      <c r="G86" s="1243">
        <f t="shared" ref="G86:X86" si="30">+G87+G88+G94</f>
        <v>25777</v>
      </c>
      <c r="H86" s="1243">
        <f t="shared" si="30"/>
        <v>15597.8</v>
      </c>
      <c r="I86" s="1243">
        <f t="shared" si="30"/>
        <v>200</v>
      </c>
      <c r="J86" s="1243">
        <f t="shared" si="30"/>
        <v>0</v>
      </c>
      <c r="K86" s="1243">
        <f t="shared" si="30"/>
        <v>11451.6</v>
      </c>
      <c r="L86" s="1243">
        <f t="shared" si="30"/>
        <v>3946.2</v>
      </c>
      <c r="M86" s="1243">
        <f t="shared" si="30"/>
        <v>10179.200000000001</v>
      </c>
      <c r="N86" s="1243">
        <f t="shared" si="30"/>
        <v>0</v>
      </c>
      <c r="O86" s="1243">
        <f t="shared" si="30"/>
        <v>0</v>
      </c>
      <c r="P86" s="1243">
        <f t="shared" si="30"/>
        <v>10179.200000000001</v>
      </c>
      <c r="Q86" s="1243">
        <f t="shared" si="30"/>
        <v>0</v>
      </c>
      <c r="R86" s="1243">
        <f t="shared" si="30"/>
        <v>0</v>
      </c>
      <c r="S86" s="1243">
        <f t="shared" si="30"/>
        <v>0</v>
      </c>
      <c r="T86" s="1243">
        <f t="shared" si="30"/>
        <v>0</v>
      </c>
      <c r="U86" s="1243">
        <f t="shared" si="30"/>
        <v>0</v>
      </c>
      <c r="V86" s="1243">
        <f t="shared" si="30"/>
        <v>0</v>
      </c>
      <c r="W86" s="1243">
        <f t="shared" si="30"/>
        <v>0</v>
      </c>
      <c r="X86" s="1243">
        <f t="shared" si="30"/>
        <v>0</v>
      </c>
      <c r="Y86" s="1243"/>
      <c r="Z86" s="1202"/>
      <c r="AA86" s="1203"/>
    </row>
    <row r="87" spans="1:27" s="1214" customFormat="1">
      <c r="A87" s="1208">
        <v>1</v>
      </c>
      <c r="B87" s="1206" t="s">
        <v>369</v>
      </c>
      <c r="C87" s="1206" t="s">
        <v>369</v>
      </c>
      <c r="D87" s="1205" t="s">
        <v>71</v>
      </c>
      <c r="E87" s="1205">
        <v>1</v>
      </c>
      <c r="F87" s="1210">
        <v>129</v>
      </c>
      <c r="G87" s="1210">
        <f>+H87+M87</f>
        <v>129</v>
      </c>
      <c r="H87" s="1210">
        <f>+SUM(I87:L87)</f>
        <v>129</v>
      </c>
      <c r="I87" s="1210"/>
      <c r="J87" s="1210"/>
      <c r="K87" s="1210"/>
      <c r="L87" s="1210">
        <f>+F87</f>
        <v>129</v>
      </c>
      <c r="M87" s="1210">
        <f>+N87+O87+P87</f>
        <v>0</v>
      </c>
      <c r="N87" s="1210"/>
      <c r="O87" s="1210"/>
      <c r="P87" s="1210"/>
      <c r="Q87" s="1211"/>
      <c r="R87" s="1211"/>
      <c r="S87" s="1240"/>
      <c r="T87" s="1240"/>
      <c r="U87" s="1240"/>
      <c r="V87" s="1240"/>
      <c r="W87" s="1240"/>
      <c r="X87" s="1240"/>
      <c r="Y87" s="1236"/>
      <c r="Z87" s="1212"/>
      <c r="AA87" s="1213"/>
    </row>
    <row r="88" spans="1:27" s="1219" customFormat="1">
      <c r="A88" s="1229">
        <v>2</v>
      </c>
      <c r="B88" s="1215" t="s">
        <v>75</v>
      </c>
      <c r="C88" s="1215" t="s">
        <v>75</v>
      </c>
      <c r="D88" s="1190"/>
      <c r="E88" s="1230"/>
      <c r="F88" s="1231">
        <f>+SUM(F89:F93)</f>
        <v>25448</v>
      </c>
      <c r="G88" s="1231">
        <f t="shared" ref="G88:W88" si="31">G89+G90++G91+G92+G93</f>
        <v>25448</v>
      </c>
      <c r="H88" s="1231">
        <f t="shared" si="31"/>
        <v>15268.8</v>
      </c>
      <c r="I88" s="1231">
        <f t="shared" si="31"/>
        <v>0</v>
      </c>
      <c r="J88" s="1231">
        <f t="shared" si="31"/>
        <v>0</v>
      </c>
      <c r="K88" s="1231">
        <f t="shared" si="31"/>
        <v>11451.6</v>
      </c>
      <c r="L88" s="1231">
        <f t="shared" si="31"/>
        <v>3817.2</v>
      </c>
      <c r="M88" s="1231">
        <f t="shared" si="31"/>
        <v>10179.200000000001</v>
      </c>
      <c r="N88" s="1231">
        <f t="shared" si="31"/>
        <v>0</v>
      </c>
      <c r="O88" s="1231">
        <f t="shared" si="31"/>
        <v>0</v>
      </c>
      <c r="P88" s="1231">
        <f t="shared" si="31"/>
        <v>10179.200000000001</v>
      </c>
      <c r="Q88" s="1231">
        <f t="shared" si="31"/>
        <v>0</v>
      </c>
      <c r="R88" s="1231">
        <f t="shared" si="31"/>
        <v>0</v>
      </c>
      <c r="S88" s="1231">
        <f t="shared" si="31"/>
        <v>0</v>
      </c>
      <c r="T88" s="1231">
        <f t="shared" si="31"/>
        <v>0</v>
      </c>
      <c r="U88" s="1231">
        <f t="shared" si="31"/>
        <v>0</v>
      </c>
      <c r="V88" s="1231">
        <f t="shared" si="31"/>
        <v>0</v>
      </c>
      <c r="W88" s="1231">
        <f t="shared" si="31"/>
        <v>0</v>
      </c>
      <c r="X88" s="1218"/>
      <c r="Y88" s="1218"/>
      <c r="Z88" s="1244"/>
    </row>
    <row r="89" spans="1:27" s="1266" customFormat="1" ht="89.25">
      <c r="A89" s="1256" t="s">
        <v>6</v>
      </c>
      <c r="B89" s="1284" t="s">
        <v>1137</v>
      </c>
      <c r="C89" s="1285"/>
      <c r="D89" s="1259" t="s">
        <v>71</v>
      </c>
      <c r="E89" s="1260">
        <v>1</v>
      </c>
      <c r="F89" s="1261">
        <f>+G89</f>
        <v>4280</v>
      </c>
      <c r="G89" s="1262">
        <f>+H89+M89</f>
        <v>4280</v>
      </c>
      <c r="H89" s="1262">
        <f>+SUM(I89:L89)</f>
        <v>2568</v>
      </c>
      <c r="I89" s="1262"/>
      <c r="J89" s="1262"/>
      <c r="K89" s="1262">
        <v>1926</v>
      </c>
      <c r="L89" s="1262">
        <v>642</v>
      </c>
      <c r="M89" s="1262">
        <f>+N89+O89+P89</f>
        <v>1712</v>
      </c>
      <c r="N89" s="1262"/>
      <c r="O89" s="1262"/>
      <c r="P89" s="1262">
        <f>1712</f>
        <v>1712</v>
      </c>
      <c r="Q89" s="1262"/>
      <c r="R89" s="1262"/>
      <c r="S89" s="1262"/>
      <c r="T89" s="1262"/>
      <c r="U89" s="1262"/>
      <c r="V89" s="1262"/>
      <c r="W89" s="1262"/>
      <c r="X89" s="1262"/>
      <c r="Y89" s="734"/>
      <c r="Z89" s="1264"/>
      <c r="AA89" s="1270"/>
    </row>
    <row r="90" spans="1:27" s="1266" customFormat="1" ht="115.7" customHeight="1">
      <c r="A90" s="1256" t="s">
        <v>7</v>
      </c>
      <c r="B90" s="1284" t="s">
        <v>1138</v>
      </c>
      <c r="C90" s="1285" t="s">
        <v>1139</v>
      </c>
      <c r="D90" s="1259" t="s">
        <v>71</v>
      </c>
      <c r="E90" s="1260">
        <v>1</v>
      </c>
      <c r="F90" s="1261">
        <f>+G90</f>
        <v>4400</v>
      </c>
      <c r="G90" s="1262">
        <f>+H90+M90</f>
        <v>4400</v>
      </c>
      <c r="H90" s="1262">
        <f>+SUM(I90:L90)</f>
        <v>2640</v>
      </c>
      <c r="I90" s="1262"/>
      <c r="J90" s="1262"/>
      <c r="K90" s="1262">
        <v>1980</v>
      </c>
      <c r="L90" s="1262">
        <v>660</v>
      </c>
      <c r="M90" s="1262">
        <f>+N90+O90+P90</f>
        <v>1760</v>
      </c>
      <c r="N90" s="1262"/>
      <c r="O90" s="1262"/>
      <c r="P90" s="1262">
        <v>1760</v>
      </c>
      <c r="Q90" s="1262"/>
      <c r="R90" s="1262"/>
      <c r="S90" s="1262"/>
      <c r="T90" s="1262"/>
      <c r="U90" s="1262"/>
      <c r="V90" s="1262"/>
      <c r="W90" s="1262"/>
      <c r="X90" s="1262"/>
      <c r="Y90" s="734"/>
      <c r="Z90" s="1264"/>
      <c r="AA90" s="1270"/>
    </row>
    <row r="91" spans="1:27" s="1266" customFormat="1" ht="55.7" customHeight="1">
      <c r="A91" s="1256" t="s">
        <v>411</v>
      </c>
      <c r="B91" s="1257" t="s">
        <v>1140</v>
      </c>
      <c r="C91" s="1258" t="s">
        <v>1141</v>
      </c>
      <c r="D91" s="1259" t="s">
        <v>71</v>
      </c>
      <c r="E91" s="1260">
        <v>1</v>
      </c>
      <c r="F91" s="1261">
        <v>868</v>
      </c>
      <c r="G91" s="1262">
        <f>+H91+M91</f>
        <v>868</v>
      </c>
      <c r="H91" s="1262">
        <f>+SUM(I91:L91)</f>
        <v>520.79999999999995</v>
      </c>
      <c r="I91" s="1262"/>
      <c r="J91" s="1262"/>
      <c r="K91" s="1262">
        <f>+F91*0.45</f>
        <v>390.6</v>
      </c>
      <c r="L91" s="1262">
        <f>+F91-K91-P91</f>
        <v>130.19999999999993</v>
      </c>
      <c r="M91" s="1262">
        <f>+N91+O91+P91</f>
        <v>347.20000000000005</v>
      </c>
      <c r="N91" s="1262"/>
      <c r="O91" s="1262"/>
      <c r="P91" s="1262">
        <f>+F91*0.4</f>
        <v>347.20000000000005</v>
      </c>
      <c r="Q91" s="1262"/>
      <c r="R91" s="1262"/>
      <c r="S91" s="1262"/>
      <c r="T91" s="1262"/>
      <c r="U91" s="1262"/>
      <c r="V91" s="1262"/>
      <c r="W91" s="1262"/>
      <c r="X91" s="1262"/>
      <c r="Y91" s="734"/>
      <c r="Z91" s="1264"/>
      <c r="AA91" s="1270"/>
    </row>
    <row r="92" spans="1:27" s="1266" customFormat="1" ht="63" customHeight="1">
      <c r="A92" s="1256" t="s">
        <v>414</v>
      </c>
      <c r="B92" s="1257" t="s">
        <v>1142</v>
      </c>
      <c r="C92" s="1258" t="s">
        <v>1143</v>
      </c>
      <c r="D92" s="1259" t="s">
        <v>71</v>
      </c>
      <c r="E92" s="1260">
        <v>1</v>
      </c>
      <c r="F92" s="1261">
        <v>6450</v>
      </c>
      <c r="G92" s="1262">
        <f>+H92+M92</f>
        <v>6450</v>
      </c>
      <c r="H92" s="1262">
        <f>+SUM(I92:L92)</f>
        <v>3870</v>
      </c>
      <c r="I92" s="1262"/>
      <c r="J92" s="1262"/>
      <c r="K92" s="1262">
        <f>+F92*0.45</f>
        <v>2902.5</v>
      </c>
      <c r="L92" s="1262">
        <f>+F92-K92-P92</f>
        <v>967.5</v>
      </c>
      <c r="M92" s="1262">
        <f>+N92+O92+P92</f>
        <v>2580</v>
      </c>
      <c r="N92" s="1262"/>
      <c r="O92" s="1262"/>
      <c r="P92" s="1262">
        <f>+F92*0.4</f>
        <v>2580</v>
      </c>
      <c r="Q92" s="1262"/>
      <c r="R92" s="1262"/>
      <c r="S92" s="1262"/>
      <c r="T92" s="1262"/>
      <c r="U92" s="1262"/>
      <c r="V92" s="1262"/>
      <c r="W92" s="1262"/>
      <c r="X92" s="1262"/>
      <c r="Y92" s="734"/>
      <c r="Z92" s="1264"/>
      <c r="AA92" s="1270"/>
    </row>
    <row r="93" spans="1:27" s="1266" customFormat="1" ht="66" customHeight="1">
      <c r="A93" s="1256" t="s">
        <v>416</v>
      </c>
      <c r="B93" s="1257" t="s">
        <v>1144</v>
      </c>
      <c r="C93" s="1258" t="s">
        <v>1145</v>
      </c>
      <c r="D93" s="1259" t="s">
        <v>71</v>
      </c>
      <c r="E93" s="1260">
        <v>1</v>
      </c>
      <c r="F93" s="1261">
        <v>9450</v>
      </c>
      <c r="G93" s="1262">
        <f>+H93+M93</f>
        <v>9450</v>
      </c>
      <c r="H93" s="1262">
        <f>+SUM(I93:L93)</f>
        <v>5670</v>
      </c>
      <c r="I93" s="1262"/>
      <c r="J93" s="1262"/>
      <c r="K93" s="1262">
        <f>+F93*0.45</f>
        <v>4252.5</v>
      </c>
      <c r="L93" s="1262">
        <f>+F93-K93-P93</f>
        <v>1417.5</v>
      </c>
      <c r="M93" s="1262">
        <f>+N93+O93+P93</f>
        <v>3780</v>
      </c>
      <c r="N93" s="1262"/>
      <c r="O93" s="1262"/>
      <c r="P93" s="1262">
        <f>+F93*0.4</f>
        <v>3780</v>
      </c>
      <c r="Q93" s="1262"/>
      <c r="R93" s="1262"/>
      <c r="S93" s="1262"/>
      <c r="T93" s="1262"/>
      <c r="U93" s="1262"/>
      <c r="V93" s="1262"/>
      <c r="W93" s="1262"/>
      <c r="X93" s="1262"/>
      <c r="Y93" s="734"/>
      <c r="Z93" s="1274"/>
      <c r="AA93" s="1270"/>
    </row>
    <row r="94" spans="1:27" s="1266" customFormat="1">
      <c r="A94" s="1256">
        <v>3</v>
      </c>
      <c r="B94" s="1258" t="s">
        <v>1106</v>
      </c>
      <c r="C94" s="1258" t="s">
        <v>1106</v>
      </c>
      <c r="D94" s="1259" t="s">
        <v>1107</v>
      </c>
      <c r="E94" s="1269">
        <v>40</v>
      </c>
      <c r="F94" s="1261">
        <f>+E94*5</f>
        <v>200</v>
      </c>
      <c r="G94" s="1261">
        <f>H94+M94</f>
        <v>200</v>
      </c>
      <c r="H94" s="1261">
        <f>I94+L94</f>
        <v>200</v>
      </c>
      <c r="I94" s="1261">
        <f>+F94</f>
        <v>200</v>
      </c>
      <c r="J94" s="1261"/>
      <c r="K94" s="1261"/>
      <c r="L94" s="1261"/>
      <c r="M94" s="1261">
        <f>O94+N94</f>
        <v>0</v>
      </c>
      <c r="N94" s="1261"/>
      <c r="O94" s="1261"/>
      <c r="P94" s="1261"/>
      <c r="Q94" s="1261"/>
      <c r="R94" s="1261"/>
      <c r="S94" s="1261"/>
      <c r="T94" s="1261"/>
      <c r="U94" s="1261"/>
      <c r="V94" s="1261"/>
      <c r="W94" s="1261"/>
      <c r="X94" s="1262"/>
      <c r="Y94" s="1268"/>
      <c r="Z94" s="1264"/>
      <c r="AA94" s="1265"/>
    </row>
  </sheetData>
  <mergeCells count="34">
    <mergeCell ref="Z6:Z10"/>
    <mergeCell ref="I8:L8"/>
    <mergeCell ref="M8:M10"/>
    <mergeCell ref="T8:T10"/>
    <mergeCell ref="U8:U10"/>
    <mergeCell ref="Q7:Q10"/>
    <mergeCell ref="R7:R10"/>
    <mergeCell ref="W7:W10"/>
    <mergeCell ref="X7:X10"/>
    <mergeCell ref="G6:X6"/>
    <mergeCell ref="V8:V10"/>
    <mergeCell ref="I9:I10"/>
    <mergeCell ref="J9:J10"/>
    <mergeCell ref="K9:K10"/>
    <mergeCell ref="O9:O10"/>
    <mergeCell ref="P9:P10"/>
    <mergeCell ref="A6:A10"/>
    <mergeCell ref="Y6:Y10"/>
    <mergeCell ref="F6:F10"/>
    <mergeCell ref="G7:G10"/>
    <mergeCell ref="H8:H10"/>
    <mergeCell ref="B6:B10"/>
    <mergeCell ref="C6:C10"/>
    <mergeCell ref="D6:D10"/>
    <mergeCell ref="E6:E10"/>
    <mergeCell ref="N8:P8"/>
    <mergeCell ref="S8:S10"/>
    <mergeCell ref="L9:L10"/>
    <mergeCell ref="N9:N10"/>
    <mergeCell ref="A1:D1"/>
    <mergeCell ref="S1:Y1"/>
    <mergeCell ref="A3:X3"/>
    <mergeCell ref="A4:X4"/>
    <mergeCell ref="Q5:X5"/>
  </mergeCells>
  <pageMargins left="0.196850393700787" right="0.196850393700787" top="0.39370078740157499" bottom="0.3" header="7.8740157480315001E-2" footer="0"/>
  <pageSetup paperSize="9" scale="70" fitToHeight="0"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sheetPr>
    <tabColor rgb="FFFFFF00"/>
  </sheetPr>
  <dimension ref="A1:N152"/>
  <sheetViews>
    <sheetView workbookViewId="0">
      <pane xSplit="2" ySplit="4" topLeftCell="C62" activePane="bottomRight" state="frozen"/>
      <selection activeCell="E25" sqref="E25"/>
      <selection pane="topRight" activeCell="E25" sqref="E25"/>
      <selection pane="bottomLeft" activeCell="E25" sqref="E25"/>
      <selection pane="bottomRight" activeCell="E25" sqref="E25"/>
    </sheetView>
  </sheetViews>
  <sheetFormatPr defaultRowHeight="15"/>
  <cols>
    <col min="1" max="1" width="6.375" customWidth="1"/>
    <col min="2" max="2" width="27.875" customWidth="1"/>
  </cols>
  <sheetData>
    <row r="1" spans="1:14">
      <c r="A1" s="1393" t="s">
        <v>26</v>
      </c>
      <c r="B1" s="1393" t="s">
        <v>554</v>
      </c>
      <c r="C1" s="1393" t="s">
        <v>555</v>
      </c>
      <c r="D1" s="1393" t="s">
        <v>147</v>
      </c>
      <c r="E1" s="1393" t="s">
        <v>556</v>
      </c>
      <c r="F1" s="1393" t="s">
        <v>2</v>
      </c>
      <c r="G1" s="1393"/>
      <c r="H1" s="1393"/>
      <c r="I1" s="1393"/>
      <c r="J1" s="1393"/>
      <c r="K1" s="1393"/>
      <c r="L1" s="1393"/>
      <c r="M1" s="1393"/>
      <c r="N1" s="1596" t="s">
        <v>131</v>
      </c>
    </row>
    <row r="2" spans="1:14">
      <c r="A2" s="1393"/>
      <c r="B2" s="1393"/>
      <c r="C2" s="1393"/>
      <c r="D2" s="1393"/>
      <c r="E2" s="1393"/>
      <c r="F2" s="1393" t="s">
        <v>91</v>
      </c>
      <c r="G2" s="1393" t="s">
        <v>206</v>
      </c>
      <c r="H2" s="1393"/>
      <c r="I2" s="1393"/>
      <c r="J2" s="1393" t="s">
        <v>148</v>
      </c>
      <c r="K2" s="1393" t="s">
        <v>557</v>
      </c>
      <c r="L2" s="1393" t="s">
        <v>558</v>
      </c>
      <c r="M2" s="1393" t="s">
        <v>559</v>
      </c>
      <c r="N2" s="1597"/>
    </row>
    <row r="3" spans="1:14" ht="38.25">
      <c r="A3" s="1393"/>
      <c r="B3" s="1393"/>
      <c r="C3" s="1393"/>
      <c r="D3" s="1393"/>
      <c r="E3" s="1393"/>
      <c r="F3" s="1393"/>
      <c r="G3" s="485" t="s">
        <v>560</v>
      </c>
      <c r="H3" s="485" t="s">
        <v>12</v>
      </c>
      <c r="I3" s="485" t="s">
        <v>561</v>
      </c>
      <c r="J3" s="1393"/>
      <c r="K3" s="1393"/>
      <c r="L3" s="1393"/>
      <c r="M3" s="1393"/>
      <c r="N3" s="1598"/>
    </row>
    <row r="4" spans="1:14" s="366" customFormat="1" ht="12.75">
      <c r="A4" s="486"/>
      <c r="B4" s="486" t="s">
        <v>453</v>
      </c>
      <c r="C4" s="486"/>
      <c r="D4" s="486"/>
      <c r="E4" s="487">
        <f>SUM(F4,J4:M4)</f>
        <v>192310</v>
      </c>
      <c r="F4" s="487">
        <f>SUM(G4:I4)</f>
        <v>146850.5</v>
      </c>
      <c r="G4" s="487">
        <f t="shared" ref="G4:M4" si="0">G5+G41+G79+G112+G136</f>
        <v>21941.500000000004</v>
      </c>
      <c r="H4" s="487">
        <f t="shared" si="0"/>
        <v>122400</v>
      </c>
      <c r="I4" s="487">
        <f t="shared" si="0"/>
        <v>2509</v>
      </c>
      <c r="J4" s="487">
        <f t="shared" si="0"/>
        <v>26239</v>
      </c>
      <c r="K4" s="487">
        <f t="shared" si="0"/>
        <v>0</v>
      </c>
      <c r="L4" s="487">
        <f t="shared" si="0"/>
        <v>9047</v>
      </c>
      <c r="M4" s="487">
        <f t="shared" si="0"/>
        <v>10173.5</v>
      </c>
      <c r="N4" s="488"/>
    </row>
    <row r="5" spans="1:14" s="366" customFormat="1" ht="12.75">
      <c r="A5" s="489" t="s">
        <v>66</v>
      </c>
      <c r="B5" s="486" t="s">
        <v>562</v>
      </c>
      <c r="C5" s="486"/>
      <c r="D5" s="486"/>
      <c r="E5" s="487">
        <f t="shared" ref="E5:E68" si="1">SUM(F5,J5:M5)</f>
        <v>53989</v>
      </c>
      <c r="F5" s="487">
        <f t="shared" ref="F5:F68" si="2">SUM(G5:I5)</f>
        <v>37949</v>
      </c>
      <c r="G5" s="487">
        <f t="shared" ref="G5:M5" si="3">G6+G10+G16+G31+G35+G37</f>
        <v>1520</v>
      </c>
      <c r="H5" s="487">
        <f t="shared" si="3"/>
        <v>35829</v>
      </c>
      <c r="I5" s="487">
        <f t="shared" si="3"/>
        <v>600</v>
      </c>
      <c r="J5" s="487">
        <f t="shared" si="3"/>
        <v>11920</v>
      </c>
      <c r="K5" s="487">
        <f t="shared" si="3"/>
        <v>0</v>
      </c>
      <c r="L5" s="487">
        <f t="shared" si="3"/>
        <v>2120</v>
      </c>
      <c r="M5" s="487">
        <f t="shared" si="3"/>
        <v>2000</v>
      </c>
      <c r="N5" s="489"/>
    </row>
    <row r="6" spans="1:14" s="366" customFormat="1" ht="12.75">
      <c r="A6" s="489">
        <v>1</v>
      </c>
      <c r="B6" s="490" t="s">
        <v>28</v>
      </c>
      <c r="C6" s="486"/>
      <c r="D6" s="486"/>
      <c r="E6" s="487">
        <f t="shared" si="1"/>
        <v>129</v>
      </c>
      <c r="F6" s="487">
        <f t="shared" si="2"/>
        <v>129</v>
      </c>
      <c r="G6" s="487">
        <f>G7</f>
        <v>0</v>
      </c>
      <c r="H6" s="487">
        <f t="shared" ref="H6:M6" si="4">H7</f>
        <v>129</v>
      </c>
      <c r="I6" s="487">
        <f t="shared" si="4"/>
        <v>0</v>
      </c>
      <c r="J6" s="487">
        <f t="shared" si="4"/>
        <v>0</v>
      </c>
      <c r="K6" s="487">
        <f t="shared" si="4"/>
        <v>0</v>
      </c>
      <c r="L6" s="487">
        <f t="shared" si="4"/>
        <v>0</v>
      </c>
      <c r="M6" s="487">
        <f t="shared" si="4"/>
        <v>0</v>
      </c>
      <c r="N6" s="491"/>
    </row>
    <row r="7" spans="1:14" s="366" customFormat="1" ht="38.25">
      <c r="A7" s="492"/>
      <c r="B7" s="493" t="s">
        <v>563</v>
      </c>
      <c r="C7" s="494" t="s">
        <v>71</v>
      </c>
      <c r="D7" s="494">
        <v>1</v>
      </c>
      <c r="E7" s="495">
        <f t="shared" si="1"/>
        <v>129</v>
      </c>
      <c r="F7" s="495">
        <f t="shared" si="2"/>
        <v>129</v>
      </c>
      <c r="G7" s="496"/>
      <c r="H7" s="495">
        <v>129</v>
      </c>
      <c r="I7" s="496"/>
      <c r="J7" s="496"/>
      <c r="K7" s="496"/>
      <c r="L7" s="496"/>
      <c r="M7" s="496"/>
      <c r="N7" s="494"/>
    </row>
    <row r="8" spans="1:14" s="366" customFormat="1" ht="12.75">
      <c r="A8" s="489">
        <v>2</v>
      </c>
      <c r="B8" s="497" t="s">
        <v>29</v>
      </c>
      <c r="C8" s="491"/>
      <c r="D8" s="489"/>
      <c r="E8" s="487">
        <f t="shared" si="1"/>
        <v>800</v>
      </c>
      <c r="F8" s="487">
        <f t="shared" si="2"/>
        <v>320</v>
      </c>
      <c r="G8" s="498">
        <f t="shared" ref="G8:M8" si="5">SUM(G9:G9)</f>
        <v>320</v>
      </c>
      <c r="H8" s="498">
        <f t="shared" si="5"/>
        <v>0</v>
      </c>
      <c r="I8" s="498">
        <f t="shared" si="5"/>
        <v>0</v>
      </c>
      <c r="J8" s="498">
        <f t="shared" si="5"/>
        <v>0</v>
      </c>
      <c r="K8" s="498">
        <f t="shared" si="5"/>
        <v>0</v>
      </c>
      <c r="L8" s="498">
        <f t="shared" si="5"/>
        <v>480</v>
      </c>
      <c r="M8" s="498">
        <f t="shared" si="5"/>
        <v>0</v>
      </c>
      <c r="N8" s="491"/>
    </row>
    <row r="9" spans="1:14" s="366" customFormat="1" ht="12.75">
      <c r="A9" s="492"/>
      <c r="B9" s="493" t="s">
        <v>564</v>
      </c>
      <c r="C9" s="499" t="s">
        <v>69</v>
      </c>
      <c r="D9" s="500">
        <v>1</v>
      </c>
      <c r="E9" s="496">
        <f t="shared" si="1"/>
        <v>800</v>
      </c>
      <c r="F9" s="496">
        <f t="shared" si="2"/>
        <v>320</v>
      </c>
      <c r="G9" s="501">
        <f>800*0.4*D9</f>
        <v>320</v>
      </c>
      <c r="H9" s="501"/>
      <c r="I9" s="501"/>
      <c r="J9" s="501"/>
      <c r="K9" s="501"/>
      <c r="L9" s="501">
        <f>800*0.6*D9</f>
        <v>480</v>
      </c>
      <c r="M9" s="501"/>
      <c r="N9" s="494" t="s">
        <v>565</v>
      </c>
    </row>
    <row r="10" spans="1:14" s="366" customFormat="1" ht="12.75">
      <c r="A10" s="489">
        <v>3</v>
      </c>
      <c r="B10" s="490" t="s">
        <v>34</v>
      </c>
      <c r="C10" s="486"/>
      <c r="D10" s="486"/>
      <c r="E10" s="487">
        <f t="shared" si="1"/>
        <v>11920</v>
      </c>
      <c r="F10" s="487">
        <f t="shared" si="2"/>
        <v>0</v>
      </c>
      <c r="G10" s="487">
        <f>SUM(G11:G15)</f>
        <v>0</v>
      </c>
      <c r="H10" s="487">
        <f t="shared" ref="H10:M10" si="6">SUM(H11:H15)</f>
        <v>0</v>
      </c>
      <c r="I10" s="487">
        <f t="shared" si="6"/>
        <v>0</v>
      </c>
      <c r="J10" s="487">
        <f t="shared" si="6"/>
        <v>11920</v>
      </c>
      <c r="K10" s="487">
        <f t="shared" si="6"/>
        <v>0</v>
      </c>
      <c r="L10" s="487">
        <f t="shared" si="6"/>
        <v>0</v>
      </c>
      <c r="M10" s="487">
        <f t="shared" si="6"/>
        <v>0</v>
      </c>
      <c r="N10" s="491"/>
    </row>
    <row r="11" spans="1:14" s="366" customFormat="1" ht="51">
      <c r="A11" s="492"/>
      <c r="B11" s="493" t="s">
        <v>566</v>
      </c>
      <c r="C11" s="493" t="s">
        <v>71</v>
      </c>
      <c r="D11" s="502">
        <v>1</v>
      </c>
      <c r="E11" s="496">
        <f t="shared" si="1"/>
        <v>1549</v>
      </c>
      <c r="F11" s="496">
        <f t="shared" si="2"/>
        <v>0</v>
      </c>
      <c r="G11" s="496"/>
      <c r="H11" s="496"/>
      <c r="I11" s="496"/>
      <c r="J11" s="496">
        <v>1549</v>
      </c>
      <c r="K11" s="496"/>
      <c r="L11" s="496"/>
      <c r="M11" s="496"/>
      <c r="N11" s="499"/>
    </row>
    <row r="12" spans="1:14" s="366" customFormat="1" ht="51">
      <c r="A12" s="492"/>
      <c r="B12" s="493" t="s">
        <v>567</v>
      </c>
      <c r="C12" s="493" t="s">
        <v>71</v>
      </c>
      <c r="D12" s="502">
        <v>1</v>
      </c>
      <c r="E12" s="496">
        <f t="shared" si="1"/>
        <v>3021</v>
      </c>
      <c r="F12" s="496">
        <f t="shared" si="2"/>
        <v>0</v>
      </c>
      <c r="G12" s="496"/>
      <c r="H12" s="496"/>
      <c r="I12" s="496"/>
      <c r="J12" s="496">
        <v>3021</v>
      </c>
      <c r="K12" s="496"/>
      <c r="L12" s="496"/>
      <c r="M12" s="496"/>
      <c r="N12" s="499"/>
    </row>
    <row r="13" spans="1:14" s="366" customFormat="1" ht="51">
      <c r="A13" s="492"/>
      <c r="B13" s="493" t="s">
        <v>568</v>
      </c>
      <c r="C13" s="493" t="s">
        <v>71</v>
      </c>
      <c r="D13" s="502">
        <v>1</v>
      </c>
      <c r="E13" s="496">
        <f t="shared" si="1"/>
        <v>1174</v>
      </c>
      <c r="F13" s="496">
        <f t="shared" si="2"/>
        <v>0</v>
      </c>
      <c r="G13" s="496"/>
      <c r="H13" s="496"/>
      <c r="I13" s="496"/>
      <c r="J13" s="496">
        <v>1174</v>
      </c>
      <c r="K13" s="496"/>
      <c r="L13" s="496"/>
      <c r="M13" s="496"/>
      <c r="N13" s="499"/>
    </row>
    <row r="14" spans="1:14" s="366" customFormat="1" ht="51">
      <c r="A14" s="492"/>
      <c r="B14" s="493" t="s">
        <v>569</v>
      </c>
      <c r="C14" s="493" t="s">
        <v>71</v>
      </c>
      <c r="D14" s="502">
        <v>1</v>
      </c>
      <c r="E14" s="496">
        <f t="shared" si="1"/>
        <v>2429</v>
      </c>
      <c r="F14" s="496">
        <f t="shared" si="2"/>
        <v>0</v>
      </c>
      <c r="G14" s="496"/>
      <c r="H14" s="496"/>
      <c r="I14" s="496"/>
      <c r="J14" s="496">
        <v>2429</v>
      </c>
      <c r="K14" s="496"/>
      <c r="L14" s="496"/>
      <c r="M14" s="496"/>
      <c r="N14" s="499"/>
    </row>
    <row r="15" spans="1:14" s="366" customFormat="1" ht="25.5">
      <c r="A15" s="492"/>
      <c r="B15" s="493" t="s">
        <v>570</v>
      </c>
      <c r="C15" s="493" t="s">
        <v>71</v>
      </c>
      <c r="D15" s="502">
        <v>1</v>
      </c>
      <c r="E15" s="496">
        <f t="shared" si="1"/>
        <v>3747</v>
      </c>
      <c r="F15" s="496">
        <f t="shared" si="2"/>
        <v>0</v>
      </c>
      <c r="G15" s="496"/>
      <c r="H15" s="496"/>
      <c r="I15" s="496"/>
      <c r="J15" s="496">
        <v>3747</v>
      </c>
      <c r="K15" s="496"/>
      <c r="L15" s="496"/>
      <c r="M15" s="496"/>
      <c r="N15" s="499"/>
    </row>
    <row r="16" spans="1:14" s="366" customFormat="1" ht="12.75">
      <c r="A16" s="489">
        <v>4</v>
      </c>
      <c r="B16" s="497" t="s">
        <v>75</v>
      </c>
      <c r="C16" s="486"/>
      <c r="D16" s="486"/>
      <c r="E16" s="487">
        <f t="shared" si="1"/>
        <v>29900</v>
      </c>
      <c r="F16" s="487">
        <f t="shared" si="2"/>
        <v>29900</v>
      </c>
      <c r="G16" s="487">
        <f>G17+G22+G25+G28</f>
        <v>0</v>
      </c>
      <c r="H16" s="487">
        <f t="shared" ref="H16:M16" si="7">H17+H22+H25+H28</f>
        <v>29900</v>
      </c>
      <c r="I16" s="487">
        <f t="shared" si="7"/>
        <v>0</v>
      </c>
      <c r="J16" s="487">
        <f t="shared" si="7"/>
        <v>0</v>
      </c>
      <c r="K16" s="487">
        <f t="shared" si="7"/>
        <v>0</v>
      </c>
      <c r="L16" s="487">
        <f t="shared" si="7"/>
        <v>0</v>
      </c>
      <c r="M16" s="487">
        <f t="shared" si="7"/>
        <v>0</v>
      </c>
      <c r="N16" s="491"/>
    </row>
    <row r="17" spans="1:14" s="366" customFormat="1" ht="13.5">
      <c r="A17" s="503" t="s">
        <v>571</v>
      </c>
      <c r="B17" s="504" t="s">
        <v>572</v>
      </c>
      <c r="C17" s="505" t="s">
        <v>71</v>
      </c>
      <c r="D17" s="494">
        <v>1</v>
      </c>
      <c r="E17" s="506">
        <f t="shared" si="1"/>
        <v>9400</v>
      </c>
      <c r="F17" s="506">
        <f t="shared" si="2"/>
        <v>9400</v>
      </c>
      <c r="G17" s="506">
        <f t="shared" ref="G17:M17" si="8">SUM(G18:G21)</f>
        <v>0</v>
      </c>
      <c r="H17" s="506">
        <f t="shared" si="8"/>
        <v>9400</v>
      </c>
      <c r="I17" s="506">
        <f t="shared" si="8"/>
        <v>0</v>
      </c>
      <c r="J17" s="506">
        <f t="shared" si="8"/>
        <v>0</v>
      </c>
      <c r="K17" s="506">
        <f t="shared" si="8"/>
        <v>0</v>
      </c>
      <c r="L17" s="506">
        <f t="shared" si="8"/>
        <v>0</v>
      </c>
      <c r="M17" s="506">
        <f t="shared" si="8"/>
        <v>0</v>
      </c>
      <c r="N17" s="507"/>
    </row>
    <row r="18" spans="1:14" s="520" customFormat="1" ht="114.75">
      <c r="A18" s="510"/>
      <c r="B18" s="511" t="s">
        <v>672</v>
      </c>
      <c r="C18" s="512"/>
      <c r="D18" s="513"/>
      <c r="E18" s="508">
        <f t="shared" si="1"/>
        <v>7500</v>
      </c>
      <c r="F18" s="508">
        <f t="shared" si="2"/>
        <v>7500</v>
      </c>
      <c r="G18" s="508"/>
      <c r="H18" s="508">
        <f>6000+1500</f>
        <v>7500</v>
      </c>
      <c r="I18" s="508"/>
      <c r="J18" s="508"/>
      <c r="K18" s="508"/>
      <c r="L18" s="508"/>
      <c r="M18" s="508"/>
      <c r="N18" s="509"/>
    </row>
    <row r="19" spans="1:14" s="520" customFormat="1" ht="38.25">
      <c r="A19" s="510"/>
      <c r="B19" s="511" t="s">
        <v>673</v>
      </c>
      <c r="C19" s="512"/>
      <c r="D19" s="513"/>
      <c r="E19" s="508">
        <f t="shared" si="1"/>
        <v>800</v>
      </c>
      <c r="F19" s="508">
        <f t="shared" si="2"/>
        <v>800</v>
      </c>
      <c r="G19" s="508"/>
      <c r="H19" s="508">
        <v>800</v>
      </c>
      <c r="I19" s="508"/>
      <c r="J19" s="508"/>
      <c r="K19" s="508"/>
      <c r="L19" s="508"/>
      <c r="M19" s="508"/>
      <c r="N19" s="509"/>
    </row>
    <row r="20" spans="1:14" s="520" customFormat="1" ht="38.25">
      <c r="A20" s="510"/>
      <c r="B20" s="511" t="s">
        <v>674</v>
      </c>
      <c r="C20" s="512"/>
      <c r="D20" s="513"/>
      <c r="E20" s="508">
        <f t="shared" si="1"/>
        <v>800</v>
      </c>
      <c r="F20" s="508">
        <f t="shared" si="2"/>
        <v>800</v>
      </c>
      <c r="G20" s="508"/>
      <c r="H20" s="508">
        <v>800</v>
      </c>
      <c r="I20" s="508"/>
      <c r="J20" s="508"/>
      <c r="K20" s="508"/>
      <c r="L20" s="508"/>
      <c r="M20" s="508"/>
      <c r="N20" s="514"/>
    </row>
    <row r="21" spans="1:14" s="520" customFormat="1" ht="25.5">
      <c r="A21" s="510"/>
      <c r="B21" s="511" t="s">
        <v>670</v>
      </c>
      <c r="C21" s="512"/>
      <c r="D21" s="513"/>
      <c r="E21" s="508">
        <f t="shared" si="1"/>
        <v>300</v>
      </c>
      <c r="F21" s="508">
        <f t="shared" si="2"/>
        <v>300</v>
      </c>
      <c r="G21" s="508"/>
      <c r="H21" s="508">
        <v>300</v>
      </c>
      <c r="I21" s="508"/>
      <c r="J21" s="508"/>
      <c r="K21" s="508"/>
      <c r="L21" s="508"/>
      <c r="M21" s="508"/>
      <c r="N21" s="514"/>
    </row>
    <row r="22" spans="1:14" s="520" customFormat="1" ht="13.5">
      <c r="A22" s="521" t="s">
        <v>571</v>
      </c>
      <c r="B22" s="522" t="s">
        <v>573</v>
      </c>
      <c r="C22" s="523"/>
      <c r="D22" s="523"/>
      <c r="E22" s="524">
        <f t="shared" si="1"/>
        <v>5900</v>
      </c>
      <c r="F22" s="524">
        <f t="shared" si="2"/>
        <v>5900</v>
      </c>
      <c r="G22" s="524">
        <f>SUM(G23:G24)</f>
        <v>0</v>
      </c>
      <c r="H22" s="524">
        <f t="shared" ref="H22:M22" si="9">SUM(H23:H24)</f>
        <v>5900</v>
      </c>
      <c r="I22" s="524">
        <f t="shared" si="9"/>
        <v>0</v>
      </c>
      <c r="J22" s="524">
        <f t="shared" si="9"/>
        <v>0</v>
      </c>
      <c r="K22" s="524">
        <f t="shared" si="9"/>
        <v>0</v>
      </c>
      <c r="L22" s="524">
        <f t="shared" si="9"/>
        <v>0</v>
      </c>
      <c r="M22" s="524">
        <f t="shared" si="9"/>
        <v>0</v>
      </c>
      <c r="N22" s="525"/>
    </row>
    <row r="23" spans="1:14" s="520" customFormat="1" ht="127.5">
      <c r="A23" s="510"/>
      <c r="B23" s="511" t="s">
        <v>574</v>
      </c>
      <c r="C23" s="513"/>
      <c r="D23" s="513"/>
      <c r="E23" s="508">
        <f t="shared" si="1"/>
        <v>5000</v>
      </c>
      <c r="F23" s="508">
        <f t="shared" si="2"/>
        <v>5000</v>
      </c>
      <c r="G23" s="508"/>
      <c r="H23" s="508">
        <v>5000</v>
      </c>
      <c r="I23" s="508"/>
      <c r="J23" s="508"/>
      <c r="K23" s="508"/>
      <c r="L23" s="508"/>
      <c r="M23" s="508"/>
      <c r="N23" s="514"/>
    </row>
    <row r="24" spans="1:14" s="520" customFormat="1" ht="25.5">
      <c r="A24" s="510"/>
      <c r="B24" s="511" t="s">
        <v>575</v>
      </c>
      <c r="C24" s="513"/>
      <c r="D24" s="513"/>
      <c r="E24" s="508">
        <f t="shared" si="1"/>
        <v>900</v>
      </c>
      <c r="F24" s="508">
        <f t="shared" si="2"/>
        <v>900</v>
      </c>
      <c r="G24" s="508"/>
      <c r="H24" s="508">
        <v>900</v>
      </c>
      <c r="I24" s="508"/>
      <c r="J24" s="508"/>
      <c r="K24" s="508"/>
      <c r="L24" s="508"/>
      <c r="M24" s="508"/>
      <c r="N24" s="514"/>
    </row>
    <row r="25" spans="1:14" s="520" customFormat="1" ht="13.5">
      <c r="A25" s="521" t="s">
        <v>571</v>
      </c>
      <c r="B25" s="522" t="s">
        <v>576</v>
      </c>
      <c r="C25" s="525"/>
      <c r="D25" s="521"/>
      <c r="E25" s="524">
        <f t="shared" si="1"/>
        <v>9900</v>
      </c>
      <c r="F25" s="524">
        <f t="shared" si="2"/>
        <v>9900</v>
      </c>
      <c r="G25" s="526">
        <f>SUM(G26:G27)</f>
        <v>0</v>
      </c>
      <c r="H25" s="526">
        <f t="shared" ref="H25:M25" si="10">SUM(H26:H27)</f>
        <v>9900</v>
      </c>
      <c r="I25" s="526">
        <f t="shared" si="10"/>
        <v>0</v>
      </c>
      <c r="J25" s="526">
        <f t="shared" si="10"/>
        <v>0</v>
      </c>
      <c r="K25" s="526">
        <f t="shared" si="10"/>
        <v>0</v>
      </c>
      <c r="L25" s="526">
        <f t="shared" si="10"/>
        <v>0</v>
      </c>
      <c r="M25" s="526">
        <f t="shared" si="10"/>
        <v>0</v>
      </c>
      <c r="N25" s="525"/>
    </row>
    <row r="26" spans="1:14" s="520" customFormat="1" ht="140.25">
      <c r="A26" s="510"/>
      <c r="B26" s="511" t="s">
        <v>577</v>
      </c>
      <c r="C26" s="514"/>
      <c r="D26" s="510"/>
      <c r="E26" s="508">
        <f t="shared" si="1"/>
        <v>9000</v>
      </c>
      <c r="F26" s="508">
        <f t="shared" si="2"/>
        <v>9000</v>
      </c>
      <c r="G26" s="515"/>
      <c r="H26" s="515">
        <v>9000</v>
      </c>
      <c r="I26" s="515"/>
      <c r="J26" s="515"/>
      <c r="K26" s="515"/>
      <c r="L26" s="515"/>
      <c r="M26" s="515"/>
      <c r="N26" s="514"/>
    </row>
    <row r="27" spans="1:14" s="520" customFormat="1" ht="25.5">
      <c r="A27" s="510"/>
      <c r="B27" s="511" t="s">
        <v>575</v>
      </c>
      <c r="C27" s="514"/>
      <c r="D27" s="510"/>
      <c r="E27" s="508">
        <f t="shared" si="1"/>
        <v>900</v>
      </c>
      <c r="F27" s="508">
        <f t="shared" si="2"/>
        <v>900</v>
      </c>
      <c r="G27" s="515"/>
      <c r="H27" s="515">
        <v>900</v>
      </c>
      <c r="I27" s="515"/>
      <c r="J27" s="515"/>
      <c r="K27" s="515"/>
      <c r="L27" s="515"/>
      <c r="M27" s="515"/>
      <c r="N27" s="514"/>
    </row>
    <row r="28" spans="1:14" s="520" customFormat="1" ht="13.5">
      <c r="A28" s="521" t="s">
        <v>571</v>
      </c>
      <c r="B28" s="522" t="s">
        <v>578</v>
      </c>
      <c r="C28" s="525"/>
      <c r="D28" s="521"/>
      <c r="E28" s="524">
        <f t="shared" si="1"/>
        <v>4700</v>
      </c>
      <c r="F28" s="524">
        <f t="shared" si="2"/>
        <v>4700</v>
      </c>
      <c r="G28" s="526">
        <f t="shared" ref="G28:M28" si="11">SUM(G29:G30)</f>
        <v>0</v>
      </c>
      <c r="H28" s="526">
        <f t="shared" si="11"/>
        <v>4700</v>
      </c>
      <c r="I28" s="526">
        <f t="shared" si="11"/>
        <v>0</v>
      </c>
      <c r="J28" s="526">
        <f t="shared" si="11"/>
        <v>0</v>
      </c>
      <c r="K28" s="526">
        <f t="shared" si="11"/>
        <v>0</v>
      </c>
      <c r="L28" s="526">
        <f t="shared" si="11"/>
        <v>0</v>
      </c>
      <c r="M28" s="526">
        <f t="shared" si="11"/>
        <v>0</v>
      </c>
      <c r="N28" s="512"/>
    </row>
    <row r="29" spans="1:14" s="520" customFormat="1" ht="102">
      <c r="A29" s="510"/>
      <c r="B29" s="511" t="s">
        <v>675</v>
      </c>
      <c r="C29" s="514"/>
      <c r="D29" s="510"/>
      <c r="E29" s="508">
        <f t="shared" si="1"/>
        <v>3800</v>
      </c>
      <c r="F29" s="508">
        <f t="shared" si="2"/>
        <v>3800</v>
      </c>
      <c r="G29" s="515"/>
      <c r="H29" s="515">
        <f>2800+1000</f>
        <v>3800</v>
      </c>
      <c r="I29" s="515"/>
      <c r="J29" s="515"/>
      <c r="K29" s="515"/>
      <c r="L29" s="515"/>
      <c r="M29" s="515"/>
      <c r="N29" s="512"/>
    </row>
    <row r="30" spans="1:14" s="520" customFormat="1" ht="25.5">
      <c r="A30" s="510"/>
      <c r="B30" s="511" t="s">
        <v>575</v>
      </c>
      <c r="C30" s="514"/>
      <c r="D30" s="510"/>
      <c r="E30" s="508">
        <f t="shared" si="1"/>
        <v>900</v>
      </c>
      <c r="F30" s="508">
        <f t="shared" si="2"/>
        <v>900</v>
      </c>
      <c r="G30" s="515"/>
      <c r="H30" s="515">
        <v>900</v>
      </c>
      <c r="I30" s="515"/>
      <c r="J30" s="515"/>
      <c r="K30" s="515"/>
      <c r="L30" s="515"/>
      <c r="M30" s="515"/>
      <c r="N30" s="512"/>
    </row>
    <row r="31" spans="1:14" s="366" customFormat="1" ht="12.75">
      <c r="A31" s="489">
        <v>5</v>
      </c>
      <c r="B31" s="497" t="s">
        <v>36</v>
      </c>
      <c r="C31" s="491"/>
      <c r="D31" s="489"/>
      <c r="E31" s="487">
        <f t="shared" si="1"/>
        <v>1640</v>
      </c>
      <c r="F31" s="487">
        <f t="shared" si="2"/>
        <v>1520</v>
      </c>
      <c r="G31" s="498">
        <f>SUM(G32:G34)</f>
        <v>920</v>
      </c>
      <c r="H31" s="498">
        <f t="shared" ref="H31:M31" si="12">SUM(H32:H34)</f>
        <v>0</v>
      </c>
      <c r="I31" s="498">
        <f t="shared" si="12"/>
        <v>600</v>
      </c>
      <c r="J31" s="498">
        <f t="shared" si="12"/>
        <v>0</v>
      </c>
      <c r="K31" s="498">
        <f t="shared" si="12"/>
        <v>0</v>
      </c>
      <c r="L31" s="498">
        <f t="shared" si="12"/>
        <v>120</v>
      </c>
      <c r="M31" s="498">
        <f t="shared" si="12"/>
        <v>0</v>
      </c>
      <c r="N31" s="491"/>
    </row>
    <row r="32" spans="1:14" s="520" customFormat="1" ht="12.75">
      <c r="A32" s="510"/>
      <c r="B32" s="511" t="s">
        <v>579</v>
      </c>
      <c r="C32" s="514" t="s">
        <v>71</v>
      </c>
      <c r="D32" s="510">
        <v>1</v>
      </c>
      <c r="E32" s="508">
        <f t="shared" si="1"/>
        <v>600</v>
      </c>
      <c r="F32" s="508">
        <f t="shared" si="2"/>
        <v>600</v>
      </c>
      <c r="G32" s="515"/>
      <c r="H32" s="515"/>
      <c r="I32" s="515">
        <v>600</v>
      </c>
      <c r="J32" s="515"/>
      <c r="K32" s="515"/>
      <c r="L32" s="515"/>
      <c r="M32" s="515"/>
      <c r="N32" s="514"/>
    </row>
    <row r="33" spans="1:14" s="520" customFormat="1" ht="12.75">
      <c r="A33" s="510"/>
      <c r="B33" s="511" t="s">
        <v>580</v>
      </c>
      <c r="C33" s="514" t="s">
        <v>71</v>
      </c>
      <c r="D33" s="510">
        <v>4</v>
      </c>
      <c r="E33" s="508">
        <f t="shared" si="1"/>
        <v>240</v>
      </c>
      <c r="F33" s="508">
        <f t="shared" si="2"/>
        <v>120</v>
      </c>
      <c r="G33" s="515">
        <f>D33*30</f>
        <v>120</v>
      </c>
      <c r="H33" s="515"/>
      <c r="I33" s="515"/>
      <c r="J33" s="515"/>
      <c r="K33" s="515"/>
      <c r="L33" s="515">
        <f>G33</f>
        <v>120</v>
      </c>
      <c r="M33" s="515"/>
      <c r="N33" s="514"/>
    </row>
    <row r="34" spans="1:14" s="520" customFormat="1" ht="25.5">
      <c r="A34" s="510"/>
      <c r="B34" s="511" t="s">
        <v>581</v>
      </c>
      <c r="C34" s="514" t="s">
        <v>432</v>
      </c>
      <c r="D34" s="510">
        <v>20</v>
      </c>
      <c r="E34" s="508">
        <f t="shared" si="1"/>
        <v>800</v>
      </c>
      <c r="F34" s="508">
        <f t="shared" si="2"/>
        <v>800</v>
      </c>
      <c r="G34" s="515">
        <f>40*D34</f>
        <v>800</v>
      </c>
      <c r="H34" s="515"/>
      <c r="I34" s="515"/>
      <c r="J34" s="515"/>
      <c r="K34" s="515"/>
      <c r="L34" s="515"/>
      <c r="M34" s="515"/>
      <c r="N34" s="514"/>
    </row>
    <row r="35" spans="1:14" s="520" customFormat="1" ht="12.75">
      <c r="A35" s="527">
        <v>6</v>
      </c>
      <c r="B35" s="528" t="s">
        <v>39</v>
      </c>
      <c r="C35" s="529"/>
      <c r="D35" s="527"/>
      <c r="E35" s="530">
        <f t="shared" si="1"/>
        <v>4000</v>
      </c>
      <c r="F35" s="530">
        <f t="shared" si="2"/>
        <v>0</v>
      </c>
      <c r="G35" s="531">
        <f>G36</f>
        <v>0</v>
      </c>
      <c r="H35" s="531">
        <f t="shared" ref="H35:M35" si="13">H36</f>
        <v>0</v>
      </c>
      <c r="I35" s="531">
        <f t="shared" si="13"/>
        <v>0</v>
      </c>
      <c r="J35" s="531">
        <f t="shared" si="13"/>
        <v>0</v>
      </c>
      <c r="K35" s="531">
        <f t="shared" si="13"/>
        <v>0</v>
      </c>
      <c r="L35" s="531">
        <f t="shared" si="13"/>
        <v>2000</v>
      </c>
      <c r="M35" s="531">
        <f t="shared" si="13"/>
        <v>2000</v>
      </c>
      <c r="N35" s="529"/>
    </row>
    <row r="36" spans="1:14" s="520" customFormat="1" ht="12.75">
      <c r="A36" s="510"/>
      <c r="B36" s="511" t="s">
        <v>582</v>
      </c>
      <c r="C36" s="514" t="s">
        <v>76</v>
      </c>
      <c r="D36" s="510">
        <v>40</v>
      </c>
      <c r="E36" s="508">
        <f t="shared" si="1"/>
        <v>4000</v>
      </c>
      <c r="F36" s="508">
        <f t="shared" si="2"/>
        <v>0</v>
      </c>
      <c r="G36" s="515"/>
      <c r="H36" s="515"/>
      <c r="I36" s="515"/>
      <c r="J36" s="515"/>
      <c r="K36" s="515"/>
      <c r="L36" s="515">
        <f>D36*50</f>
        <v>2000</v>
      </c>
      <c r="M36" s="515">
        <f>D36*50</f>
        <v>2000</v>
      </c>
      <c r="N36" s="514"/>
    </row>
    <row r="37" spans="1:14" s="366" customFormat="1" ht="12.75">
      <c r="A37" s="489">
        <v>7</v>
      </c>
      <c r="B37" s="497" t="s">
        <v>583</v>
      </c>
      <c r="C37" s="491"/>
      <c r="D37" s="489"/>
      <c r="E37" s="487">
        <f t="shared" si="1"/>
        <v>6400</v>
      </c>
      <c r="F37" s="487">
        <f t="shared" si="2"/>
        <v>6400</v>
      </c>
      <c r="G37" s="498">
        <f>SUM(G38:G40)</f>
        <v>600</v>
      </c>
      <c r="H37" s="498">
        <f t="shared" ref="H37:M37" si="14">SUM(H38:H40)</f>
        <v>5800</v>
      </c>
      <c r="I37" s="498">
        <f t="shared" si="14"/>
        <v>0</v>
      </c>
      <c r="J37" s="498">
        <f t="shared" si="14"/>
        <v>0</v>
      </c>
      <c r="K37" s="498">
        <f t="shared" si="14"/>
        <v>0</v>
      </c>
      <c r="L37" s="498">
        <f t="shared" si="14"/>
        <v>0</v>
      </c>
      <c r="M37" s="498">
        <f t="shared" si="14"/>
        <v>0</v>
      </c>
      <c r="N37" s="491"/>
    </row>
    <row r="38" spans="1:14" s="520" customFormat="1" ht="12.75">
      <c r="A38" s="510"/>
      <c r="B38" s="511" t="s">
        <v>584</v>
      </c>
      <c r="C38" s="514" t="s">
        <v>71</v>
      </c>
      <c r="D38" s="510">
        <v>2</v>
      </c>
      <c r="E38" s="508">
        <f t="shared" si="1"/>
        <v>400</v>
      </c>
      <c r="F38" s="508">
        <f t="shared" si="2"/>
        <v>400</v>
      </c>
      <c r="G38" s="515">
        <f>200*D38</f>
        <v>400</v>
      </c>
      <c r="H38" s="515"/>
      <c r="I38" s="515"/>
      <c r="J38" s="515"/>
      <c r="K38" s="515"/>
      <c r="L38" s="515"/>
      <c r="M38" s="515"/>
      <c r="N38" s="514"/>
    </row>
    <row r="39" spans="1:14" s="520" customFormat="1" ht="38.25">
      <c r="A39" s="510"/>
      <c r="B39" s="511" t="s">
        <v>585</v>
      </c>
      <c r="C39" s="514" t="s">
        <v>71</v>
      </c>
      <c r="D39" s="510">
        <v>1</v>
      </c>
      <c r="E39" s="508">
        <f t="shared" si="1"/>
        <v>5800</v>
      </c>
      <c r="F39" s="508">
        <f t="shared" si="2"/>
        <v>5800</v>
      </c>
      <c r="G39" s="515"/>
      <c r="H39" s="515">
        <v>5800</v>
      </c>
      <c r="I39" s="515"/>
      <c r="J39" s="515"/>
      <c r="K39" s="515"/>
      <c r="L39" s="515"/>
      <c r="M39" s="515"/>
      <c r="N39" s="532" t="s">
        <v>586</v>
      </c>
    </row>
    <row r="40" spans="1:14" s="520" customFormat="1" ht="25.5">
      <c r="A40" s="510"/>
      <c r="B40" s="511" t="s">
        <v>587</v>
      </c>
      <c r="C40" s="514" t="s">
        <v>71</v>
      </c>
      <c r="D40" s="510">
        <v>1</v>
      </c>
      <c r="E40" s="508">
        <f t="shared" si="1"/>
        <v>200</v>
      </c>
      <c r="F40" s="508">
        <f t="shared" si="2"/>
        <v>200</v>
      </c>
      <c r="G40" s="515">
        <v>200</v>
      </c>
      <c r="H40" s="515"/>
      <c r="I40" s="515"/>
      <c r="J40" s="515"/>
      <c r="K40" s="515"/>
      <c r="L40" s="515"/>
      <c r="M40" s="515"/>
      <c r="N40" s="514"/>
    </row>
    <row r="41" spans="1:14" s="366" customFormat="1" ht="12.75">
      <c r="A41" s="489" t="s">
        <v>67</v>
      </c>
      <c r="B41" s="491" t="s">
        <v>588</v>
      </c>
      <c r="C41" s="491"/>
      <c r="D41" s="489"/>
      <c r="E41" s="487">
        <f t="shared" si="1"/>
        <v>43257</v>
      </c>
      <c r="F41" s="487">
        <f t="shared" si="2"/>
        <v>29798</v>
      </c>
      <c r="G41" s="498">
        <f>G42+G44+G49+G52+G68+G73+G75</f>
        <v>2360</v>
      </c>
      <c r="H41" s="498">
        <f t="shared" ref="H41:M41" si="15">H42+H44+H49+H52+H68+H73+H75</f>
        <v>25529</v>
      </c>
      <c r="I41" s="498">
        <f t="shared" si="15"/>
        <v>1909</v>
      </c>
      <c r="J41" s="498">
        <f t="shared" si="15"/>
        <v>2759</v>
      </c>
      <c r="K41" s="498">
        <f t="shared" si="15"/>
        <v>0</v>
      </c>
      <c r="L41" s="498">
        <f t="shared" si="15"/>
        <v>4350</v>
      </c>
      <c r="M41" s="498">
        <f t="shared" si="15"/>
        <v>6350</v>
      </c>
      <c r="N41" s="491"/>
    </row>
    <row r="42" spans="1:14" s="366" customFormat="1" ht="12.75">
      <c r="A42" s="489">
        <v>1</v>
      </c>
      <c r="B42" s="490" t="s">
        <v>28</v>
      </c>
      <c r="C42" s="486"/>
      <c r="D42" s="486"/>
      <c r="E42" s="487">
        <f t="shared" si="1"/>
        <v>129</v>
      </c>
      <c r="F42" s="487">
        <f t="shared" si="2"/>
        <v>129</v>
      </c>
      <c r="G42" s="487">
        <f>G43</f>
        <v>0</v>
      </c>
      <c r="H42" s="487">
        <f t="shared" ref="H42:M42" si="16">H43</f>
        <v>129</v>
      </c>
      <c r="I42" s="487">
        <f t="shared" si="16"/>
        <v>0</v>
      </c>
      <c r="J42" s="487">
        <f t="shared" si="16"/>
        <v>0</v>
      </c>
      <c r="K42" s="487">
        <f t="shared" si="16"/>
        <v>0</v>
      </c>
      <c r="L42" s="487">
        <f t="shared" si="16"/>
        <v>0</v>
      </c>
      <c r="M42" s="487">
        <f t="shared" si="16"/>
        <v>0</v>
      </c>
      <c r="N42" s="491"/>
    </row>
    <row r="43" spans="1:14" s="366" customFormat="1" ht="38.25">
      <c r="A43" s="492"/>
      <c r="B43" s="493" t="s">
        <v>563</v>
      </c>
      <c r="C43" s="494" t="s">
        <v>71</v>
      </c>
      <c r="D43" s="494">
        <v>1</v>
      </c>
      <c r="E43" s="495">
        <f t="shared" si="1"/>
        <v>129</v>
      </c>
      <c r="F43" s="495">
        <f t="shared" si="2"/>
        <v>129</v>
      </c>
      <c r="G43" s="495"/>
      <c r="H43" s="495">
        <v>129</v>
      </c>
      <c r="I43" s="496"/>
      <c r="J43" s="496"/>
      <c r="K43" s="496"/>
      <c r="L43" s="496"/>
      <c r="M43" s="496"/>
      <c r="N43" s="494"/>
    </row>
    <row r="44" spans="1:14" s="366" customFormat="1" ht="12.75">
      <c r="A44" s="489">
        <v>2</v>
      </c>
      <c r="B44" s="497" t="s">
        <v>29</v>
      </c>
      <c r="C44" s="491"/>
      <c r="D44" s="489"/>
      <c r="E44" s="487">
        <f t="shared" si="1"/>
        <v>3500</v>
      </c>
      <c r="F44" s="487">
        <f t="shared" si="2"/>
        <v>2060</v>
      </c>
      <c r="G44" s="498">
        <f>SUM(G45:G48)</f>
        <v>1060</v>
      </c>
      <c r="H44" s="498">
        <f t="shared" ref="H44:M44" si="17">SUM(H45:H48)</f>
        <v>1000</v>
      </c>
      <c r="I44" s="498">
        <f t="shared" si="17"/>
        <v>0</v>
      </c>
      <c r="J44" s="498">
        <f t="shared" si="17"/>
        <v>0</v>
      </c>
      <c r="K44" s="498">
        <f t="shared" si="17"/>
        <v>0</v>
      </c>
      <c r="L44" s="498">
        <f t="shared" si="17"/>
        <v>1440</v>
      </c>
      <c r="M44" s="498">
        <f t="shared" si="17"/>
        <v>0</v>
      </c>
      <c r="N44" s="491"/>
    </row>
    <row r="45" spans="1:14" s="520" customFormat="1" ht="12.75">
      <c r="A45" s="510"/>
      <c r="B45" s="511" t="s">
        <v>589</v>
      </c>
      <c r="C45" s="514" t="s">
        <v>69</v>
      </c>
      <c r="D45" s="533">
        <v>0.4</v>
      </c>
      <c r="E45" s="508">
        <f t="shared" si="1"/>
        <v>1000</v>
      </c>
      <c r="F45" s="508">
        <f t="shared" si="2"/>
        <v>1000</v>
      </c>
      <c r="G45" s="515"/>
      <c r="H45" s="515">
        <v>1000</v>
      </c>
      <c r="I45" s="515"/>
      <c r="J45" s="515"/>
      <c r="K45" s="515"/>
      <c r="L45" s="515"/>
      <c r="M45" s="515"/>
      <c r="N45" s="514"/>
    </row>
    <row r="46" spans="1:14" s="366" customFormat="1" ht="12.75">
      <c r="A46" s="492"/>
      <c r="B46" s="493" t="s">
        <v>564</v>
      </c>
      <c r="C46" s="499" t="s">
        <v>69</v>
      </c>
      <c r="D46" s="500">
        <v>2</v>
      </c>
      <c r="E46" s="496">
        <f t="shared" si="1"/>
        <v>1600</v>
      </c>
      <c r="F46" s="496">
        <f t="shared" si="2"/>
        <v>640</v>
      </c>
      <c r="G46" s="501">
        <f>800*0.4*D46</f>
        <v>640</v>
      </c>
      <c r="H46" s="501"/>
      <c r="I46" s="501"/>
      <c r="J46" s="501"/>
      <c r="K46" s="501"/>
      <c r="L46" s="501">
        <f>800*0.6*D46</f>
        <v>960</v>
      </c>
      <c r="M46" s="501"/>
      <c r="N46" s="499"/>
    </row>
    <row r="47" spans="1:14" s="520" customFormat="1" ht="12.75">
      <c r="A47" s="510"/>
      <c r="B47" s="511" t="s">
        <v>590</v>
      </c>
      <c r="C47" s="514" t="s">
        <v>69</v>
      </c>
      <c r="D47" s="533">
        <v>3</v>
      </c>
      <c r="E47" s="508">
        <f t="shared" si="1"/>
        <v>600</v>
      </c>
      <c r="F47" s="508">
        <f t="shared" si="2"/>
        <v>300</v>
      </c>
      <c r="G47" s="515">
        <f>D47*100</f>
        <v>300</v>
      </c>
      <c r="H47" s="515"/>
      <c r="I47" s="515"/>
      <c r="J47" s="515"/>
      <c r="K47" s="515"/>
      <c r="L47" s="515">
        <f>+G47</f>
        <v>300</v>
      </c>
      <c r="M47" s="515"/>
      <c r="N47" s="514"/>
    </row>
    <row r="48" spans="1:14" s="366" customFormat="1" ht="12.75">
      <c r="A48" s="492"/>
      <c r="B48" s="493" t="s">
        <v>591</v>
      </c>
      <c r="C48" s="499" t="s">
        <v>69</v>
      </c>
      <c r="D48" s="500">
        <v>0.5</v>
      </c>
      <c r="E48" s="496">
        <f t="shared" si="1"/>
        <v>300</v>
      </c>
      <c r="F48" s="496">
        <f t="shared" si="2"/>
        <v>120</v>
      </c>
      <c r="G48" s="501">
        <f>600*0.4*D48</f>
        <v>120</v>
      </c>
      <c r="H48" s="501"/>
      <c r="I48" s="501"/>
      <c r="J48" s="501"/>
      <c r="K48" s="501"/>
      <c r="L48" s="501">
        <f>600*0.6*D48</f>
        <v>180</v>
      </c>
      <c r="M48" s="501"/>
      <c r="N48" s="499"/>
    </row>
    <row r="49" spans="1:14" s="366" customFormat="1" ht="12.75">
      <c r="A49" s="489">
        <v>3</v>
      </c>
      <c r="B49" s="491" t="s">
        <v>34</v>
      </c>
      <c r="C49" s="491"/>
      <c r="D49" s="489"/>
      <c r="E49" s="487">
        <f t="shared" si="1"/>
        <v>2759</v>
      </c>
      <c r="F49" s="487">
        <f t="shared" si="2"/>
        <v>0</v>
      </c>
      <c r="G49" s="498">
        <f>SUM(G50:G51)</f>
        <v>0</v>
      </c>
      <c r="H49" s="498">
        <f t="shared" ref="H49:M49" si="18">SUM(H50:H51)</f>
        <v>0</v>
      </c>
      <c r="I49" s="498">
        <f t="shared" si="18"/>
        <v>0</v>
      </c>
      <c r="J49" s="498">
        <f t="shared" si="18"/>
        <v>2759</v>
      </c>
      <c r="K49" s="498">
        <f t="shared" si="18"/>
        <v>0</v>
      </c>
      <c r="L49" s="498">
        <f t="shared" si="18"/>
        <v>0</v>
      </c>
      <c r="M49" s="498">
        <f t="shared" si="18"/>
        <v>0</v>
      </c>
      <c r="N49" s="491"/>
    </row>
    <row r="50" spans="1:14" s="366" customFormat="1" ht="38.25">
      <c r="A50" s="492"/>
      <c r="B50" s="493" t="s">
        <v>592</v>
      </c>
      <c r="C50" s="493" t="s">
        <v>71</v>
      </c>
      <c r="D50" s="502">
        <v>1</v>
      </c>
      <c r="E50" s="496">
        <f t="shared" si="1"/>
        <v>885</v>
      </c>
      <c r="F50" s="496">
        <f t="shared" si="2"/>
        <v>0</v>
      </c>
      <c r="G50" s="501"/>
      <c r="H50" s="501"/>
      <c r="I50" s="501"/>
      <c r="J50" s="501">
        <v>885</v>
      </c>
      <c r="K50" s="501"/>
      <c r="L50" s="501"/>
      <c r="M50" s="501"/>
      <c r="N50" s="499"/>
    </row>
    <row r="51" spans="1:14" s="366" customFormat="1" ht="25.5">
      <c r="A51" s="492"/>
      <c r="B51" s="493" t="s">
        <v>593</v>
      </c>
      <c r="C51" s="493" t="s">
        <v>71</v>
      </c>
      <c r="D51" s="502">
        <v>1</v>
      </c>
      <c r="E51" s="496">
        <f t="shared" si="1"/>
        <v>1874</v>
      </c>
      <c r="F51" s="496">
        <f t="shared" si="2"/>
        <v>0</v>
      </c>
      <c r="G51" s="501"/>
      <c r="H51" s="501"/>
      <c r="I51" s="501"/>
      <c r="J51" s="501">
        <v>1874</v>
      </c>
      <c r="K51" s="501"/>
      <c r="L51" s="501"/>
      <c r="M51" s="501"/>
      <c r="N51" s="499"/>
    </row>
    <row r="52" spans="1:14" s="366" customFormat="1" ht="12.75">
      <c r="A52" s="489">
        <v>4</v>
      </c>
      <c r="B52" s="497" t="s">
        <v>75</v>
      </c>
      <c r="C52" s="491"/>
      <c r="D52" s="489"/>
      <c r="E52" s="487">
        <f t="shared" si="1"/>
        <v>23400</v>
      </c>
      <c r="F52" s="487">
        <f t="shared" si="2"/>
        <v>23400</v>
      </c>
      <c r="G52" s="498">
        <f>G53+G60+G64</f>
        <v>0</v>
      </c>
      <c r="H52" s="498">
        <f t="shared" ref="H52:M52" si="19">H53+H60+H64</f>
        <v>23400</v>
      </c>
      <c r="I52" s="498">
        <f t="shared" si="19"/>
        <v>0</v>
      </c>
      <c r="J52" s="498">
        <f t="shared" si="19"/>
        <v>0</v>
      </c>
      <c r="K52" s="498">
        <f t="shared" si="19"/>
        <v>0</v>
      </c>
      <c r="L52" s="498">
        <f t="shared" si="19"/>
        <v>0</v>
      </c>
      <c r="M52" s="498">
        <f t="shared" si="19"/>
        <v>0</v>
      </c>
      <c r="N52" s="491"/>
    </row>
    <row r="53" spans="1:14" s="520" customFormat="1" ht="13.5">
      <c r="A53" s="521" t="s">
        <v>571</v>
      </c>
      <c r="B53" s="522" t="s">
        <v>594</v>
      </c>
      <c r="C53" s="525"/>
      <c r="D53" s="521"/>
      <c r="E53" s="524">
        <f t="shared" si="1"/>
        <v>6100</v>
      </c>
      <c r="F53" s="524">
        <f t="shared" si="2"/>
        <v>6100</v>
      </c>
      <c r="G53" s="526">
        <f>SUM(G54:G59)</f>
        <v>0</v>
      </c>
      <c r="H53" s="526">
        <f t="shared" ref="H53:M53" si="20">SUM(H54:H59)</f>
        <v>6100</v>
      </c>
      <c r="I53" s="526">
        <f t="shared" si="20"/>
        <v>0</v>
      </c>
      <c r="J53" s="526">
        <f t="shared" si="20"/>
        <v>0</v>
      </c>
      <c r="K53" s="526">
        <f t="shared" si="20"/>
        <v>0</v>
      </c>
      <c r="L53" s="526">
        <f t="shared" si="20"/>
        <v>0</v>
      </c>
      <c r="M53" s="526">
        <f t="shared" si="20"/>
        <v>0</v>
      </c>
      <c r="N53" s="525"/>
    </row>
    <row r="54" spans="1:14" s="520" customFormat="1" ht="102">
      <c r="A54" s="510"/>
      <c r="B54" s="511" t="s">
        <v>677</v>
      </c>
      <c r="C54" s="514" t="s">
        <v>71</v>
      </c>
      <c r="D54" s="510">
        <v>1</v>
      </c>
      <c r="E54" s="508">
        <f t="shared" si="1"/>
        <v>4000</v>
      </c>
      <c r="F54" s="508">
        <f t="shared" si="2"/>
        <v>4000</v>
      </c>
      <c r="G54" s="515"/>
      <c r="H54" s="515">
        <v>4000</v>
      </c>
      <c r="I54" s="515"/>
      <c r="J54" s="515"/>
      <c r="K54" s="515"/>
      <c r="L54" s="515"/>
      <c r="M54" s="515"/>
      <c r="N54" s="511"/>
    </row>
    <row r="55" spans="1:14" s="520" customFormat="1" ht="25.5">
      <c r="A55" s="510"/>
      <c r="B55" s="511" t="s">
        <v>678</v>
      </c>
      <c r="C55" s="514" t="s">
        <v>71</v>
      </c>
      <c r="D55" s="510">
        <v>1</v>
      </c>
      <c r="E55" s="508">
        <f t="shared" si="1"/>
        <v>300</v>
      </c>
      <c r="F55" s="508">
        <f t="shared" si="2"/>
        <v>300</v>
      </c>
      <c r="G55" s="515"/>
      <c r="H55" s="515">
        <v>300</v>
      </c>
      <c r="I55" s="515"/>
      <c r="J55" s="515"/>
      <c r="K55" s="515"/>
      <c r="L55" s="515"/>
      <c r="M55" s="515"/>
      <c r="N55" s="514"/>
    </row>
    <row r="56" spans="1:14" s="520" customFormat="1" ht="25.5">
      <c r="A56" s="510"/>
      <c r="B56" s="511" t="s">
        <v>679</v>
      </c>
      <c r="C56" s="514" t="s">
        <v>71</v>
      </c>
      <c r="D56" s="510">
        <v>1</v>
      </c>
      <c r="E56" s="508">
        <f t="shared" si="1"/>
        <v>300</v>
      </c>
      <c r="F56" s="508">
        <f t="shared" si="2"/>
        <v>300</v>
      </c>
      <c r="G56" s="515"/>
      <c r="H56" s="515">
        <v>300</v>
      </c>
      <c r="I56" s="515"/>
      <c r="J56" s="515"/>
      <c r="K56" s="515"/>
      <c r="L56" s="515"/>
      <c r="M56" s="515"/>
      <c r="N56" s="514"/>
    </row>
    <row r="57" spans="1:14" s="520" customFormat="1" ht="25.5">
      <c r="A57" s="510"/>
      <c r="B57" s="511" t="s">
        <v>680</v>
      </c>
      <c r="C57" s="514" t="s">
        <v>71</v>
      </c>
      <c r="D57" s="510">
        <v>1</v>
      </c>
      <c r="E57" s="508">
        <f t="shared" si="1"/>
        <v>300</v>
      </c>
      <c r="F57" s="508">
        <f t="shared" si="2"/>
        <v>300</v>
      </c>
      <c r="G57" s="515"/>
      <c r="H57" s="515">
        <v>300</v>
      </c>
      <c r="I57" s="515"/>
      <c r="J57" s="515"/>
      <c r="K57" s="515"/>
      <c r="L57" s="515"/>
      <c r="M57" s="515"/>
      <c r="N57" s="514"/>
    </row>
    <row r="58" spans="1:14" s="520" customFormat="1" ht="25.5">
      <c r="A58" s="510"/>
      <c r="B58" s="511" t="s">
        <v>681</v>
      </c>
      <c r="C58" s="514" t="s">
        <v>71</v>
      </c>
      <c r="D58" s="510">
        <v>1</v>
      </c>
      <c r="E58" s="508">
        <f t="shared" si="1"/>
        <v>400</v>
      </c>
      <c r="F58" s="508">
        <f t="shared" si="2"/>
        <v>400</v>
      </c>
      <c r="G58" s="515"/>
      <c r="H58" s="515">
        <v>400</v>
      </c>
      <c r="I58" s="515"/>
      <c r="J58" s="515"/>
      <c r="K58" s="515"/>
      <c r="L58" s="515"/>
      <c r="M58" s="515"/>
      <c r="N58" s="514"/>
    </row>
    <row r="59" spans="1:14" s="520" customFormat="1" ht="38.25">
      <c r="A59" s="510"/>
      <c r="B59" s="511" t="s">
        <v>682</v>
      </c>
      <c r="C59" s="514" t="s">
        <v>71</v>
      </c>
      <c r="D59" s="510">
        <v>1</v>
      </c>
      <c r="E59" s="508">
        <f t="shared" si="1"/>
        <v>800</v>
      </c>
      <c r="F59" s="508">
        <f t="shared" si="2"/>
        <v>800</v>
      </c>
      <c r="G59" s="515"/>
      <c r="H59" s="515">
        <v>800</v>
      </c>
      <c r="I59" s="515"/>
      <c r="J59" s="515"/>
      <c r="K59" s="515"/>
      <c r="L59" s="515"/>
      <c r="M59" s="515"/>
      <c r="N59" s="514"/>
    </row>
    <row r="60" spans="1:14" s="520" customFormat="1" ht="13.5">
      <c r="A60" s="521" t="s">
        <v>571</v>
      </c>
      <c r="B60" s="522" t="s">
        <v>595</v>
      </c>
      <c r="C60" s="525"/>
      <c r="D60" s="521"/>
      <c r="E60" s="524">
        <f t="shared" si="1"/>
        <v>10000</v>
      </c>
      <c r="F60" s="524">
        <f t="shared" si="2"/>
        <v>10000</v>
      </c>
      <c r="G60" s="526">
        <f>SUM(G61:G63)</f>
        <v>0</v>
      </c>
      <c r="H60" s="526">
        <f t="shared" ref="H60:M60" si="21">SUM(H61:H63)</f>
        <v>10000</v>
      </c>
      <c r="I60" s="526">
        <f t="shared" si="21"/>
        <v>0</v>
      </c>
      <c r="J60" s="526">
        <f t="shared" si="21"/>
        <v>0</v>
      </c>
      <c r="K60" s="526">
        <f t="shared" si="21"/>
        <v>0</v>
      </c>
      <c r="L60" s="526">
        <f t="shared" si="21"/>
        <v>0</v>
      </c>
      <c r="M60" s="526">
        <f t="shared" si="21"/>
        <v>0</v>
      </c>
      <c r="N60" s="525"/>
    </row>
    <row r="61" spans="1:14" s="520" customFormat="1" ht="204">
      <c r="A61" s="510"/>
      <c r="B61" s="512" t="s">
        <v>683</v>
      </c>
      <c r="C61" s="514"/>
      <c r="D61" s="510"/>
      <c r="E61" s="508">
        <f t="shared" si="1"/>
        <v>9500</v>
      </c>
      <c r="F61" s="508">
        <f t="shared" si="2"/>
        <v>9500</v>
      </c>
      <c r="G61" s="515"/>
      <c r="H61" s="515">
        <v>9500</v>
      </c>
      <c r="I61" s="515"/>
      <c r="J61" s="515"/>
      <c r="K61" s="515"/>
      <c r="L61" s="515"/>
      <c r="M61" s="515"/>
      <c r="N61" s="512" t="s">
        <v>596</v>
      </c>
    </row>
    <row r="62" spans="1:14" s="520" customFormat="1" ht="25.5">
      <c r="A62" s="510"/>
      <c r="B62" s="512" t="s">
        <v>684</v>
      </c>
      <c r="C62" s="514"/>
      <c r="D62" s="510"/>
      <c r="E62" s="508">
        <f t="shared" si="1"/>
        <v>200</v>
      </c>
      <c r="F62" s="508">
        <f t="shared" si="2"/>
        <v>200</v>
      </c>
      <c r="G62" s="515"/>
      <c r="H62" s="515">
        <v>200</v>
      </c>
      <c r="I62" s="515"/>
      <c r="J62" s="515"/>
      <c r="K62" s="515"/>
      <c r="L62" s="515"/>
      <c r="M62" s="515"/>
      <c r="N62" s="514"/>
    </row>
    <row r="63" spans="1:14" s="520" customFormat="1" ht="38.25">
      <c r="A63" s="510"/>
      <c r="B63" s="512" t="s">
        <v>685</v>
      </c>
      <c r="C63" s="514"/>
      <c r="D63" s="510"/>
      <c r="E63" s="508">
        <f t="shared" si="1"/>
        <v>300</v>
      </c>
      <c r="F63" s="508">
        <f t="shared" si="2"/>
        <v>300</v>
      </c>
      <c r="G63" s="515"/>
      <c r="H63" s="515">
        <v>300</v>
      </c>
      <c r="I63" s="515"/>
      <c r="J63" s="515"/>
      <c r="K63" s="515"/>
      <c r="L63" s="515"/>
      <c r="M63" s="515"/>
      <c r="N63" s="514"/>
    </row>
    <row r="64" spans="1:14" s="520" customFormat="1" ht="13.5">
      <c r="A64" s="521" t="s">
        <v>571</v>
      </c>
      <c r="B64" s="534" t="s">
        <v>597</v>
      </c>
      <c r="C64" s="525"/>
      <c r="D64" s="521"/>
      <c r="E64" s="524">
        <f t="shared" si="1"/>
        <v>7300</v>
      </c>
      <c r="F64" s="524">
        <f t="shared" si="2"/>
        <v>7300</v>
      </c>
      <c r="G64" s="526">
        <f t="shared" ref="G64:M64" si="22">SUM(G65:G67)</f>
        <v>0</v>
      </c>
      <c r="H64" s="526">
        <f t="shared" si="22"/>
        <v>7300</v>
      </c>
      <c r="I64" s="526">
        <f t="shared" si="22"/>
        <v>0</v>
      </c>
      <c r="J64" s="526">
        <f t="shared" si="22"/>
        <v>0</v>
      </c>
      <c r="K64" s="526">
        <f t="shared" si="22"/>
        <v>0</v>
      </c>
      <c r="L64" s="526">
        <f t="shared" si="22"/>
        <v>0</v>
      </c>
      <c r="M64" s="526">
        <f t="shared" si="22"/>
        <v>0</v>
      </c>
      <c r="N64" s="525"/>
    </row>
    <row r="65" spans="1:14" s="520" customFormat="1" ht="89.25">
      <c r="A65" s="510"/>
      <c r="B65" s="512" t="s">
        <v>598</v>
      </c>
      <c r="C65" s="514"/>
      <c r="D65" s="510"/>
      <c r="E65" s="508">
        <f t="shared" si="1"/>
        <v>6000</v>
      </c>
      <c r="F65" s="508">
        <f t="shared" si="2"/>
        <v>6000</v>
      </c>
      <c r="G65" s="515"/>
      <c r="H65" s="515">
        <v>6000</v>
      </c>
      <c r="I65" s="515"/>
      <c r="J65" s="515"/>
      <c r="K65" s="515"/>
      <c r="L65" s="515"/>
      <c r="M65" s="515"/>
      <c r="N65" s="514"/>
    </row>
    <row r="66" spans="1:14" s="520" customFormat="1" ht="25.5">
      <c r="A66" s="510"/>
      <c r="B66" s="512" t="s">
        <v>599</v>
      </c>
      <c r="C66" s="514"/>
      <c r="D66" s="510"/>
      <c r="E66" s="508">
        <f t="shared" si="1"/>
        <v>400</v>
      </c>
      <c r="F66" s="508">
        <f t="shared" si="2"/>
        <v>400</v>
      </c>
      <c r="G66" s="515"/>
      <c r="H66" s="515">
        <v>400</v>
      </c>
      <c r="I66" s="515"/>
      <c r="J66" s="515"/>
      <c r="K66" s="515"/>
      <c r="L66" s="515"/>
      <c r="M66" s="515"/>
      <c r="N66" s="514"/>
    </row>
    <row r="67" spans="1:14" s="520" customFormat="1" ht="25.5">
      <c r="A67" s="510"/>
      <c r="B67" s="511" t="s">
        <v>600</v>
      </c>
      <c r="C67" s="514"/>
      <c r="D67" s="510"/>
      <c r="E67" s="508">
        <f t="shared" si="1"/>
        <v>900</v>
      </c>
      <c r="F67" s="508">
        <f t="shared" si="2"/>
        <v>900</v>
      </c>
      <c r="G67" s="515"/>
      <c r="H67" s="515">
        <v>900</v>
      </c>
      <c r="I67" s="515"/>
      <c r="J67" s="515"/>
      <c r="K67" s="515"/>
      <c r="L67" s="515"/>
      <c r="M67" s="515"/>
      <c r="N67" s="514"/>
    </row>
    <row r="68" spans="1:14" s="366" customFormat="1" ht="12.75">
      <c r="A68" s="489">
        <v>5</v>
      </c>
      <c r="B68" s="491" t="s">
        <v>36</v>
      </c>
      <c r="C68" s="491"/>
      <c r="D68" s="489"/>
      <c r="E68" s="487">
        <f t="shared" si="1"/>
        <v>3669</v>
      </c>
      <c r="F68" s="487">
        <f t="shared" si="2"/>
        <v>3609</v>
      </c>
      <c r="G68" s="498">
        <f>SUM(G69:G72)</f>
        <v>700</v>
      </c>
      <c r="H68" s="498">
        <f t="shared" ref="H68:M68" si="23">SUM(H69:H72)</f>
        <v>1000</v>
      </c>
      <c r="I68" s="498">
        <f t="shared" si="23"/>
        <v>1909</v>
      </c>
      <c r="J68" s="498">
        <f t="shared" si="23"/>
        <v>0</v>
      </c>
      <c r="K68" s="498">
        <f t="shared" si="23"/>
        <v>0</v>
      </c>
      <c r="L68" s="498">
        <f t="shared" si="23"/>
        <v>60</v>
      </c>
      <c r="M68" s="498">
        <f t="shared" si="23"/>
        <v>0</v>
      </c>
      <c r="N68" s="491"/>
    </row>
    <row r="69" spans="1:14" s="520" customFormat="1" ht="12.75">
      <c r="A69" s="510"/>
      <c r="B69" s="511" t="s">
        <v>601</v>
      </c>
      <c r="C69" s="514" t="s">
        <v>71</v>
      </c>
      <c r="D69" s="510">
        <v>1</v>
      </c>
      <c r="E69" s="508">
        <f t="shared" ref="E69:E91" si="24">SUM(F69,J69:M69)</f>
        <v>1000</v>
      </c>
      <c r="F69" s="508">
        <f t="shared" ref="F69:F132" si="25">SUM(G69:I69)</f>
        <v>1000</v>
      </c>
      <c r="G69" s="515"/>
      <c r="H69" s="515">
        <v>1000</v>
      </c>
      <c r="I69" s="515"/>
      <c r="J69" s="515"/>
      <c r="K69" s="515"/>
      <c r="L69" s="515"/>
      <c r="M69" s="515"/>
      <c r="N69" s="514"/>
    </row>
    <row r="70" spans="1:14" s="520" customFormat="1" ht="12.75">
      <c r="A70" s="510"/>
      <c r="B70" s="511" t="s">
        <v>602</v>
      </c>
      <c r="C70" s="514" t="s">
        <v>71</v>
      </c>
      <c r="D70" s="510">
        <v>3</v>
      </c>
      <c r="E70" s="508">
        <f t="shared" si="24"/>
        <v>1909</v>
      </c>
      <c r="F70" s="508">
        <f t="shared" si="25"/>
        <v>1909</v>
      </c>
      <c r="G70" s="515"/>
      <c r="H70" s="515"/>
      <c r="I70" s="515">
        <f>665+622+622</f>
        <v>1909</v>
      </c>
      <c r="J70" s="515"/>
      <c r="K70" s="515"/>
      <c r="L70" s="515"/>
      <c r="M70" s="515"/>
      <c r="N70" s="514"/>
    </row>
    <row r="71" spans="1:14" s="520" customFormat="1" ht="12.75">
      <c r="A71" s="510"/>
      <c r="B71" s="511" t="s">
        <v>580</v>
      </c>
      <c r="C71" s="514" t="s">
        <v>71</v>
      </c>
      <c r="D71" s="510">
        <v>2</v>
      </c>
      <c r="E71" s="508">
        <f t="shared" si="24"/>
        <v>120</v>
      </c>
      <c r="F71" s="508">
        <f t="shared" si="25"/>
        <v>60</v>
      </c>
      <c r="G71" s="515">
        <v>60</v>
      </c>
      <c r="H71" s="515"/>
      <c r="I71" s="515"/>
      <c r="J71" s="515"/>
      <c r="K71" s="515"/>
      <c r="L71" s="515">
        <f>G71</f>
        <v>60</v>
      </c>
      <c r="M71" s="515"/>
      <c r="N71" s="514"/>
    </row>
    <row r="72" spans="1:14" s="520" customFormat="1" ht="25.5">
      <c r="A72" s="510"/>
      <c r="B72" s="511" t="s">
        <v>581</v>
      </c>
      <c r="C72" s="514" t="s">
        <v>432</v>
      </c>
      <c r="D72" s="510">
        <v>16</v>
      </c>
      <c r="E72" s="508">
        <f t="shared" si="24"/>
        <v>640</v>
      </c>
      <c r="F72" s="508">
        <f t="shared" si="25"/>
        <v>640</v>
      </c>
      <c r="G72" s="515">
        <f>D72*40</f>
        <v>640</v>
      </c>
      <c r="H72" s="515"/>
      <c r="I72" s="515"/>
      <c r="J72" s="515"/>
      <c r="K72" s="515"/>
      <c r="L72" s="515"/>
      <c r="M72" s="515"/>
      <c r="N72" s="514"/>
    </row>
    <row r="73" spans="1:14" s="366" customFormat="1" ht="12.75">
      <c r="A73" s="489">
        <v>6</v>
      </c>
      <c r="B73" s="497" t="s">
        <v>39</v>
      </c>
      <c r="C73" s="491"/>
      <c r="D73" s="489"/>
      <c r="E73" s="487">
        <f t="shared" si="24"/>
        <v>5700</v>
      </c>
      <c r="F73" s="487">
        <f t="shared" si="25"/>
        <v>0</v>
      </c>
      <c r="G73" s="498">
        <f>G74</f>
        <v>0</v>
      </c>
      <c r="H73" s="498">
        <f t="shared" ref="H73:M73" si="26">H74</f>
        <v>0</v>
      </c>
      <c r="I73" s="498">
        <f t="shared" si="26"/>
        <v>0</v>
      </c>
      <c r="J73" s="498">
        <f t="shared" si="26"/>
        <v>0</v>
      </c>
      <c r="K73" s="498">
        <f t="shared" si="26"/>
        <v>0</v>
      </c>
      <c r="L73" s="498">
        <f t="shared" si="26"/>
        <v>2850</v>
      </c>
      <c r="M73" s="498">
        <f t="shared" si="26"/>
        <v>2850</v>
      </c>
      <c r="N73" s="491"/>
    </row>
    <row r="74" spans="1:14" s="520" customFormat="1" ht="12.75">
      <c r="A74" s="510"/>
      <c r="B74" s="511" t="s">
        <v>603</v>
      </c>
      <c r="C74" s="514" t="s">
        <v>76</v>
      </c>
      <c r="D74" s="510">
        <v>57</v>
      </c>
      <c r="E74" s="508">
        <f t="shared" si="24"/>
        <v>5700</v>
      </c>
      <c r="F74" s="508">
        <f t="shared" si="25"/>
        <v>0</v>
      </c>
      <c r="G74" s="515"/>
      <c r="H74" s="515"/>
      <c r="I74" s="515"/>
      <c r="J74" s="515"/>
      <c r="K74" s="515"/>
      <c r="L74" s="515">
        <f>D74*50</f>
        <v>2850</v>
      </c>
      <c r="M74" s="515">
        <f>D74*50</f>
        <v>2850</v>
      </c>
      <c r="N74" s="514"/>
    </row>
    <row r="75" spans="1:14" s="366" customFormat="1" ht="12.75">
      <c r="A75" s="489">
        <v>7</v>
      </c>
      <c r="B75" s="497" t="s">
        <v>583</v>
      </c>
      <c r="C75" s="491"/>
      <c r="D75" s="489"/>
      <c r="E75" s="487">
        <f t="shared" si="24"/>
        <v>4100</v>
      </c>
      <c r="F75" s="487">
        <f t="shared" si="25"/>
        <v>600</v>
      </c>
      <c r="G75" s="498">
        <f>SUM(G76:G78)</f>
        <v>600</v>
      </c>
      <c r="H75" s="498">
        <f t="shared" ref="H75:M75" si="27">SUM(H76:H78)</f>
        <v>0</v>
      </c>
      <c r="I75" s="498">
        <f t="shared" si="27"/>
        <v>0</v>
      </c>
      <c r="J75" s="498">
        <f t="shared" si="27"/>
        <v>0</v>
      </c>
      <c r="K75" s="498">
        <f t="shared" si="27"/>
        <v>0</v>
      </c>
      <c r="L75" s="498">
        <f t="shared" si="27"/>
        <v>0</v>
      </c>
      <c r="M75" s="498">
        <f t="shared" si="27"/>
        <v>3500</v>
      </c>
      <c r="N75" s="491"/>
    </row>
    <row r="76" spans="1:14" s="520" customFormat="1" ht="25.5">
      <c r="A76" s="510"/>
      <c r="B76" s="511" t="s">
        <v>585</v>
      </c>
      <c r="C76" s="514" t="s">
        <v>71</v>
      </c>
      <c r="D76" s="510">
        <v>1</v>
      </c>
      <c r="E76" s="508">
        <f t="shared" si="24"/>
        <v>3500</v>
      </c>
      <c r="F76" s="508">
        <f t="shared" si="25"/>
        <v>0</v>
      </c>
      <c r="G76" s="515"/>
      <c r="H76" s="515"/>
      <c r="I76" s="515"/>
      <c r="J76" s="515"/>
      <c r="K76" s="515"/>
      <c r="L76" s="515"/>
      <c r="M76" s="515">
        <v>3500</v>
      </c>
      <c r="N76" s="514"/>
    </row>
    <row r="77" spans="1:14" s="520" customFormat="1" ht="12.75">
      <c r="A77" s="510"/>
      <c r="B77" s="511" t="s">
        <v>604</v>
      </c>
      <c r="C77" s="514" t="s">
        <v>71</v>
      </c>
      <c r="D77" s="510">
        <v>2</v>
      </c>
      <c r="E77" s="508">
        <f t="shared" si="24"/>
        <v>400</v>
      </c>
      <c r="F77" s="508">
        <f t="shared" si="25"/>
        <v>400</v>
      </c>
      <c r="G77" s="515">
        <v>400</v>
      </c>
      <c r="H77" s="515"/>
      <c r="I77" s="515"/>
      <c r="J77" s="515"/>
      <c r="K77" s="515"/>
      <c r="L77" s="515"/>
      <c r="M77" s="515"/>
      <c r="N77" s="514"/>
    </row>
    <row r="78" spans="1:14" s="520" customFormat="1" ht="25.5">
      <c r="A78" s="510"/>
      <c r="B78" s="511" t="s">
        <v>587</v>
      </c>
      <c r="C78" s="514" t="s">
        <v>71</v>
      </c>
      <c r="D78" s="510">
        <v>1</v>
      </c>
      <c r="E78" s="508">
        <f>SUM(F78,J78:M78)</f>
        <v>200</v>
      </c>
      <c r="F78" s="508">
        <f>SUM(G78:I78)</f>
        <v>200</v>
      </c>
      <c r="G78" s="515">
        <v>200</v>
      </c>
      <c r="H78" s="515"/>
      <c r="I78" s="515"/>
      <c r="J78" s="515"/>
      <c r="K78" s="515"/>
      <c r="L78" s="515"/>
      <c r="M78" s="515"/>
      <c r="N78" s="514"/>
    </row>
    <row r="79" spans="1:14" s="366" customFormat="1" ht="12.75">
      <c r="A79" s="489" t="s">
        <v>80</v>
      </c>
      <c r="B79" s="491" t="s">
        <v>605</v>
      </c>
      <c r="C79" s="491"/>
      <c r="D79" s="489"/>
      <c r="E79" s="487">
        <f t="shared" si="24"/>
        <v>62461</v>
      </c>
      <c r="F79" s="487">
        <f t="shared" si="25"/>
        <v>47377.5</v>
      </c>
      <c r="G79" s="498">
        <f>G80+G82+G87+G93+G104+G107+G109</f>
        <v>16493.500000000004</v>
      </c>
      <c r="H79" s="498">
        <f t="shared" ref="H79:M79" si="28">H80+H82+H87+H93+H104+H107+H109</f>
        <v>30884</v>
      </c>
      <c r="I79" s="498">
        <f t="shared" si="28"/>
        <v>0</v>
      </c>
      <c r="J79" s="498">
        <f t="shared" si="28"/>
        <v>11560</v>
      </c>
      <c r="K79" s="498">
        <f t="shared" si="28"/>
        <v>0</v>
      </c>
      <c r="L79" s="498">
        <f t="shared" si="28"/>
        <v>1700</v>
      </c>
      <c r="M79" s="498">
        <f t="shared" si="28"/>
        <v>1823.5</v>
      </c>
      <c r="N79" s="491"/>
    </row>
    <row r="80" spans="1:14" s="366" customFormat="1" ht="12.75">
      <c r="A80" s="489">
        <v>1</v>
      </c>
      <c r="B80" s="486" t="s">
        <v>28</v>
      </c>
      <c r="C80" s="486"/>
      <c r="D80" s="486"/>
      <c r="E80" s="487">
        <f t="shared" si="24"/>
        <v>129</v>
      </c>
      <c r="F80" s="487">
        <f t="shared" si="25"/>
        <v>129</v>
      </c>
      <c r="G80" s="487">
        <f>G81</f>
        <v>0</v>
      </c>
      <c r="H80" s="487">
        <f t="shared" ref="H80:M80" si="29">H81</f>
        <v>129</v>
      </c>
      <c r="I80" s="487">
        <f t="shared" si="29"/>
        <v>0</v>
      </c>
      <c r="J80" s="487">
        <f t="shared" si="29"/>
        <v>0</v>
      </c>
      <c r="K80" s="487">
        <f t="shared" si="29"/>
        <v>0</v>
      </c>
      <c r="L80" s="487">
        <f t="shared" si="29"/>
        <v>0</v>
      </c>
      <c r="M80" s="487">
        <f t="shared" si="29"/>
        <v>0</v>
      </c>
      <c r="N80" s="491"/>
    </row>
    <row r="81" spans="1:14" s="366" customFormat="1" ht="38.25">
      <c r="A81" s="492"/>
      <c r="B81" s="493" t="s">
        <v>563</v>
      </c>
      <c r="C81" s="494" t="s">
        <v>71</v>
      </c>
      <c r="D81" s="494">
        <v>1</v>
      </c>
      <c r="E81" s="496">
        <f t="shared" si="24"/>
        <v>129</v>
      </c>
      <c r="F81" s="496">
        <f t="shared" si="25"/>
        <v>129</v>
      </c>
      <c r="G81" s="496"/>
      <c r="H81" s="496">
        <v>129</v>
      </c>
      <c r="I81" s="496"/>
      <c r="J81" s="496"/>
      <c r="K81" s="496"/>
      <c r="L81" s="496"/>
      <c r="M81" s="496"/>
      <c r="N81" s="494"/>
    </row>
    <row r="82" spans="1:14" s="366" customFormat="1" ht="12.75">
      <c r="A82" s="489">
        <v>2</v>
      </c>
      <c r="B82" s="497" t="s">
        <v>29</v>
      </c>
      <c r="C82" s="491"/>
      <c r="D82" s="489"/>
      <c r="E82" s="487">
        <f t="shared" si="24"/>
        <v>15337.000000000004</v>
      </c>
      <c r="F82" s="487">
        <f t="shared" si="25"/>
        <v>15213.500000000004</v>
      </c>
      <c r="G82" s="498">
        <f t="shared" ref="G82:M82" si="30">SUM(G83:G86)</f>
        <v>15213.500000000004</v>
      </c>
      <c r="H82" s="498">
        <f t="shared" si="30"/>
        <v>0</v>
      </c>
      <c r="I82" s="498">
        <f t="shared" si="30"/>
        <v>0</v>
      </c>
      <c r="J82" s="498">
        <f t="shared" si="30"/>
        <v>0</v>
      </c>
      <c r="K82" s="498">
        <f t="shared" si="30"/>
        <v>0</v>
      </c>
      <c r="L82" s="498">
        <f t="shared" si="30"/>
        <v>0</v>
      </c>
      <c r="M82" s="498">
        <f t="shared" si="30"/>
        <v>123.50000000000001</v>
      </c>
      <c r="N82" s="491"/>
    </row>
    <row r="83" spans="1:14" s="520" customFormat="1" ht="12.75">
      <c r="A83" s="510"/>
      <c r="B83" s="511" t="s">
        <v>589</v>
      </c>
      <c r="C83" s="514" t="s">
        <v>69</v>
      </c>
      <c r="D83" s="510">
        <v>5.0300000000000011</v>
      </c>
      <c r="E83" s="508">
        <f t="shared" si="24"/>
        <v>15090.000000000004</v>
      </c>
      <c r="F83" s="508">
        <f t="shared" si="25"/>
        <v>15090.000000000004</v>
      </c>
      <c r="G83" s="515">
        <f>+D83*3000</f>
        <v>15090.000000000004</v>
      </c>
      <c r="H83" s="515"/>
      <c r="I83" s="515"/>
      <c r="J83" s="515"/>
      <c r="K83" s="515"/>
      <c r="L83" s="515"/>
      <c r="M83" s="515"/>
      <c r="N83" s="514"/>
    </row>
    <row r="84" spans="1:14" s="366" customFormat="1" ht="12.75">
      <c r="A84" s="492"/>
      <c r="B84" s="493" t="s">
        <v>564</v>
      </c>
      <c r="C84" s="499" t="s">
        <v>69</v>
      </c>
      <c r="D84" s="492"/>
      <c r="E84" s="496">
        <f t="shared" si="24"/>
        <v>0</v>
      </c>
      <c r="F84" s="496">
        <f t="shared" si="25"/>
        <v>0</v>
      </c>
      <c r="G84" s="501"/>
      <c r="H84" s="501"/>
      <c r="I84" s="501"/>
      <c r="J84" s="501"/>
      <c r="K84" s="501"/>
      <c r="L84" s="501"/>
      <c r="M84" s="501"/>
      <c r="N84" s="499"/>
    </row>
    <row r="85" spans="1:14" s="520" customFormat="1" ht="12.75">
      <c r="A85" s="510"/>
      <c r="B85" s="511" t="s">
        <v>590</v>
      </c>
      <c r="C85" s="514" t="s">
        <v>69</v>
      </c>
      <c r="D85" s="510">
        <v>1.2350000000000001</v>
      </c>
      <c r="E85" s="508">
        <f t="shared" si="24"/>
        <v>247.00000000000003</v>
      </c>
      <c r="F85" s="508">
        <f t="shared" si="25"/>
        <v>123.50000000000001</v>
      </c>
      <c r="G85" s="515">
        <f>+D85*100</f>
        <v>123.50000000000001</v>
      </c>
      <c r="H85" s="515"/>
      <c r="I85" s="515"/>
      <c r="J85" s="515"/>
      <c r="K85" s="515"/>
      <c r="L85" s="515"/>
      <c r="M85" s="515">
        <f>+G85</f>
        <v>123.50000000000001</v>
      </c>
      <c r="N85" s="514"/>
    </row>
    <row r="86" spans="1:14" s="366" customFormat="1" ht="12.75">
      <c r="A86" s="492"/>
      <c r="B86" s="493" t="s">
        <v>591</v>
      </c>
      <c r="C86" s="499" t="s">
        <v>69</v>
      </c>
      <c r="D86" s="492"/>
      <c r="E86" s="496">
        <f t="shared" si="24"/>
        <v>0</v>
      </c>
      <c r="F86" s="496">
        <f t="shared" si="25"/>
        <v>0</v>
      </c>
      <c r="G86" s="501"/>
      <c r="H86" s="501"/>
      <c r="I86" s="501"/>
      <c r="J86" s="501"/>
      <c r="K86" s="501"/>
      <c r="L86" s="501"/>
      <c r="M86" s="501"/>
      <c r="N86" s="499"/>
    </row>
    <row r="87" spans="1:14" s="366" customFormat="1" ht="12.75">
      <c r="A87" s="489">
        <v>3</v>
      </c>
      <c r="B87" s="497" t="s">
        <v>34</v>
      </c>
      <c r="C87" s="491"/>
      <c r="D87" s="489"/>
      <c r="E87" s="487">
        <f t="shared" si="24"/>
        <v>11560</v>
      </c>
      <c r="F87" s="487">
        <f t="shared" si="25"/>
        <v>0</v>
      </c>
      <c r="G87" s="498">
        <f>SUM(G88:G92)</f>
        <v>0</v>
      </c>
      <c r="H87" s="498">
        <f t="shared" ref="H87:M87" si="31">SUM(H88:H92)</f>
        <v>0</v>
      </c>
      <c r="I87" s="498">
        <f t="shared" si="31"/>
        <v>0</v>
      </c>
      <c r="J87" s="498">
        <f t="shared" si="31"/>
        <v>11560</v>
      </c>
      <c r="K87" s="498">
        <f t="shared" si="31"/>
        <v>0</v>
      </c>
      <c r="L87" s="498">
        <f t="shared" si="31"/>
        <v>0</v>
      </c>
      <c r="M87" s="498">
        <f t="shared" si="31"/>
        <v>0</v>
      </c>
      <c r="N87" s="491"/>
    </row>
    <row r="88" spans="1:14" s="366" customFormat="1" ht="38.25">
      <c r="A88" s="492"/>
      <c r="B88" s="493" t="s">
        <v>671</v>
      </c>
      <c r="C88" s="516" t="s">
        <v>71</v>
      </c>
      <c r="D88" s="516">
        <v>1</v>
      </c>
      <c r="E88" s="496">
        <f t="shared" si="24"/>
        <v>3000</v>
      </c>
      <c r="F88" s="496">
        <f t="shared" si="25"/>
        <v>0</v>
      </c>
      <c r="G88" s="501"/>
      <c r="H88" s="501"/>
      <c r="I88" s="501"/>
      <c r="J88" s="501">
        <v>3000</v>
      </c>
      <c r="K88" s="501"/>
      <c r="L88" s="501"/>
      <c r="M88" s="501"/>
      <c r="N88" s="499"/>
    </row>
    <row r="89" spans="1:14" s="366" customFormat="1" ht="51">
      <c r="A89" s="492"/>
      <c r="B89" s="493" t="s">
        <v>606</v>
      </c>
      <c r="C89" s="516" t="s">
        <v>71</v>
      </c>
      <c r="D89" s="516">
        <v>1</v>
      </c>
      <c r="E89" s="496">
        <f t="shared" si="24"/>
        <v>2205</v>
      </c>
      <c r="F89" s="496">
        <f t="shared" si="25"/>
        <v>0</v>
      </c>
      <c r="G89" s="501"/>
      <c r="H89" s="501"/>
      <c r="I89" s="501"/>
      <c r="J89" s="501">
        <v>2205</v>
      </c>
      <c r="K89" s="501"/>
      <c r="L89" s="501"/>
      <c r="M89" s="501"/>
      <c r="N89" s="499"/>
    </row>
    <row r="90" spans="1:14" s="366" customFormat="1" ht="51">
      <c r="A90" s="492"/>
      <c r="B90" s="493" t="s">
        <v>607</v>
      </c>
      <c r="C90" s="516" t="s">
        <v>71</v>
      </c>
      <c r="D90" s="516">
        <v>1</v>
      </c>
      <c r="E90" s="496">
        <f t="shared" si="24"/>
        <v>1571</v>
      </c>
      <c r="F90" s="496">
        <f t="shared" si="25"/>
        <v>0</v>
      </c>
      <c r="G90" s="501"/>
      <c r="H90" s="501"/>
      <c r="I90" s="501"/>
      <c r="J90" s="501">
        <v>1571</v>
      </c>
      <c r="K90" s="501"/>
      <c r="L90" s="501"/>
      <c r="M90" s="501"/>
      <c r="N90" s="499"/>
    </row>
    <row r="91" spans="1:14" s="366" customFormat="1" ht="51">
      <c r="A91" s="492"/>
      <c r="B91" s="493" t="s">
        <v>608</v>
      </c>
      <c r="C91" s="516" t="s">
        <v>71</v>
      </c>
      <c r="D91" s="516">
        <v>1</v>
      </c>
      <c r="E91" s="496">
        <f t="shared" si="24"/>
        <v>1786</v>
      </c>
      <c r="F91" s="496">
        <f t="shared" si="25"/>
        <v>0</v>
      </c>
      <c r="G91" s="501"/>
      <c r="H91" s="501"/>
      <c r="I91" s="501"/>
      <c r="J91" s="501">
        <v>1786</v>
      </c>
      <c r="K91" s="501"/>
      <c r="L91" s="501"/>
      <c r="M91" s="501"/>
      <c r="N91" s="499"/>
    </row>
    <row r="92" spans="1:14" s="366" customFormat="1" ht="25.5">
      <c r="A92" s="492"/>
      <c r="B92" s="493" t="s">
        <v>609</v>
      </c>
      <c r="C92" s="516" t="s">
        <v>71</v>
      </c>
      <c r="D92" s="516">
        <v>1</v>
      </c>
      <c r="E92" s="496">
        <f>SUM(F92,J92:M92)</f>
        <v>2998</v>
      </c>
      <c r="F92" s="496">
        <f t="shared" si="25"/>
        <v>0</v>
      </c>
      <c r="G92" s="501"/>
      <c r="H92" s="501"/>
      <c r="I92" s="501"/>
      <c r="J92" s="501">
        <v>2998</v>
      </c>
      <c r="K92" s="501"/>
      <c r="L92" s="501"/>
      <c r="M92" s="501"/>
      <c r="N92" s="499"/>
    </row>
    <row r="93" spans="1:14" s="366" customFormat="1" ht="12.75">
      <c r="A93" s="489">
        <v>4</v>
      </c>
      <c r="B93" s="497" t="s">
        <v>75</v>
      </c>
      <c r="C93" s="491"/>
      <c r="D93" s="489"/>
      <c r="E93" s="487">
        <f t="shared" ref="E93:E138" si="32">SUM(F93,J93:M93)</f>
        <v>27755</v>
      </c>
      <c r="F93" s="487">
        <f t="shared" si="25"/>
        <v>27755</v>
      </c>
      <c r="G93" s="498">
        <f>G94+G97+G100</f>
        <v>0</v>
      </c>
      <c r="H93" s="498">
        <f t="shared" ref="H93:M93" si="33">H94+H97+H100</f>
        <v>27755</v>
      </c>
      <c r="I93" s="498">
        <f t="shared" si="33"/>
        <v>0</v>
      </c>
      <c r="J93" s="498">
        <f t="shared" si="33"/>
        <v>0</v>
      </c>
      <c r="K93" s="498">
        <f t="shared" si="33"/>
        <v>0</v>
      </c>
      <c r="L93" s="498">
        <f t="shared" si="33"/>
        <v>0</v>
      </c>
      <c r="M93" s="498">
        <f t="shared" si="33"/>
        <v>0</v>
      </c>
      <c r="N93" s="491"/>
    </row>
    <row r="94" spans="1:14" s="520" customFormat="1" ht="13.5">
      <c r="A94" s="521" t="s">
        <v>571</v>
      </c>
      <c r="B94" s="522" t="s">
        <v>610</v>
      </c>
      <c r="C94" s="525"/>
      <c r="D94" s="521"/>
      <c r="E94" s="524">
        <f t="shared" si="32"/>
        <v>3600</v>
      </c>
      <c r="F94" s="524">
        <f t="shared" si="25"/>
        <v>3600</v>
      </c>
      <c r="G94" s="526">
        <f>SUM(G95:G96)</f>
        <v>0</v>
      </c>
      <c r="H94" s="526">
        <f t="shared" ref="H94:M94" si="34">SUM(H95:H96)</f>
        <v>3600</v>
      </c>
      <c r="I94" s="526">
        <f t="shared" si="34"/>
        <v>0</v>
      </c>
      <c r="J94" s="526">
        <f t="shared" si="34"/>
        <v>0</v>
      </c>
      <c r="K94" s="526">
        <f t="shared" si="34"/>
        <v>0</v>
      </c>
      <c r="L94" s="526">
        <f t="shared" si="34"/>
        <v>0</v>
      </c>
      <c r="M94" s="526">
        <f t="shared" si="34"/>
        <v>0</v>
      </c>
      <c r="N94" s="525"/>
    </row>
    <row r="95" spans="1:14" s="520" customFormat="1" ht="102">
      <c r="A95" s="510"/>
      <c r="B95" s="512" t="s">
        <v>687</v>
      </c>
      <c r="C95" s="514"/>
      <c r="D95" s="510"/>
      <c r="E95" s="508">
        <f t="shared" si="32"/>
        <v>3000</v>
      </c>
      <c r="F95" s="508">
        <f t="shared" si="25"/>
        <v>3000</v>
      </c>
      <c r="G95" s="515"/>
      <c r="H95" s="515">
        <v>3000</v>
      </c>
      <c r="I95" s="515"/>
      <c r="J95" s="515"/>
      <c r="K95" s="515"/>
      <c r="L95" s="515"/>
      <c r="M95" s="515"/>
      <c r="N95" s="512"/>
    </row>
    <row r="96" spans="1:14" s="520" customFormat="1" ht="25.5">
      <c r="A96" s="510"/>
      <c r="B96" s="512" t="s">
        <v>688</v>
      </c>
      <c r="C96" s="514"/>
      <c r="D96" s="510"/>
      <c r="E96" s="508">
        <f t="shared" si="32"/>
        <v>600</v>
      </c>
      <c r="F96" s="508">
        <f t="shared" si="25"/>
        <v>600</v>
      </c>
      <c r="G96" s="515"/>
      <c r="H96" s="515">
        <v>600</v>
      </c>
      <c r="I96" s="515"/>
      <c r="J96" s="515"/>
      <c r="K96" s="515"/>
      <c r="L96" s="515"/>
      <c r="M96" s="515"/>
      <c r="N96" s="512"/>
    </row>
    <row r="97" spans="1:14" s="520" customFormat="1" ht="13.5">
      <c r="A97" s="521" t="s">
        <v>571</v>
      </c>
      <c r="B97" s="525" t="s">
        <v>611</v>
      </c>
      <c r="C97" s="525"/>
      <c r="D97" s="521"/>
      <c r="E97" s="524">
        <f t="shared" si="32"/>
        <v>12355</v>
      </c>
      <c r="F97" s="524">
        <f t="shared" si="25"/>
        <v>12355</v>
      </c>
      <c r="G97" s="526">
        <f>SUM(G98:G99)</f>
        <v>0</v>
      </c>
      <c r="H97" s="526">
        <f t="shared" ref="H97:M97" si="35">SUM(H98:H99)</f>
        <v>12355</v>
      </c>
      <c r="I97" s="526">
        <f t="shared" si="35"/>
        <v>0</v>
      </c>
      <c r="J97" s="526">
        <f t="shared" si="35"/>
        <v>0</v>
      </c>
      <c r="K97" s="526">
        <f t="shared" si="35"/>
        <v>0</v>
      </c>
      <c r="L97" s="526">
        <f t="shared" si="35"/>
        <v>0</v>
      </c>
      <c r="M97" s="526">
        <f t="shared" si="35"/>
        <v>0</v>
      </c>
      <c r="N97" s="525"/>
    </row>
    <row r="98" spans="1:14" s="520" customFormat="1" ht="140.25">
      <c r="A98" s="510"/>
      <c r="B98" s="512" t="s">
        <v>612</v>
      </c>
      <c r="C98" s="514"/>
      <c r="D98" s="510"/>
      <c r="E98" s="508">
        <f t="shared" si="32"/>
        <v>7500</v>
      </c>
      <c r="F98" s="508">
        <f t="shared" si="25"/>
        <v>7500</v>
      </c>
      <c r="G98" s="515"/>
      <c r="H98" s="515">
        <f>3720+3780</f>
        <v>7500</v>
      </c>
      <c r="I98" s="515"/>
      <c r="J98" s="515"/>
      <c r="K98" s="515"/>
      <c r="L98" s="515"/>
      <c r="M98" s="515"/>
      <c r="N98" s="512"/>
    </row>
    <row r="99" spans="1:14" s="520" customFormat="1" ht="38.25">
      <c r="A99" s="510"/>
      <c r="B99" s="512" t="s">
        <v>613</v>
      </c>
      <c r="C99" s="514"/>
      <c r="D99" s="510"/>
      <c r="E99" s="508">
        <f t="shared" si="32"/>
        <v>4855</v>
      </c>
      <c r="F99" s="508">
        <f t="shared" si="25"/>
        <v>4855</v>
      </c>
      <c r="G99" s="515"/>
      <c r="H99" s="515">
        <v>4855</v>
      </c>
      <c r="I99" s="515"/>
      <c r="J99" s="515"/>
      <c r="K99" s="515"/>
      <c r="L99" s="515"/>
      <c r="M99" s="515"/>
      <c r="N99" s="512"/>
    </row>
    <row r="100" spans="1:14" s="520" customFormat="1" ht="13.5">
      <c r="A100" s="521" t="s">
        <v>571</v>
      </c>
      <c r="B100" s="534" t="s">
        <v>614</v>
      </c>
      <c r="C100" s="525"/>
      <c r="D100" s="521"/>
      <c r="E100" s="524">
        <f t="shared" si="32"/>
        <v>11800</v>
      </c>
      <c r="F100" s="524">
        <f t="shared" si="25"/>
        <v>11800</v>
      </c>
      <c r="G100" s="526">
        <f>SUM(G101:G103)</f>
        <v>0</v>
      </c>
      <c r="H100" s="526">
        <f t="shared" ref="H100:M100" si="36">SUM(H101:H103)</f>
        <v>11800</v>
      </c>
      <c r="I100" s="526">
        <f t="shared" si="36"/>
        <v>0</v>
      </c>
      <c r="J100" s="526">
        <f t="shared" si="36"/>
        <v>0</v>
      </c>
      <c r="K100" s="526">
        <f t="shared" si="36"/>
        <v>0</v>
      </c>
      <c r="L100" s="526">
        <f t="shared" si="36"/>
        <v>0</v>
      </c>
      <c r="M100" s="526">
        <f t="shared" si="36"/>
        <v>0</v>
      </c>
      <c r="N100" s="525"/>
    </row>
    <row r="101" spans="1:14" s="520" customFormat="1" ht="120" customHeight="1">
      <c r="A101" s="510"/>
      <c r="B101" s="512" t="s">
        <v>615</v>
      </c>
      <c r="C101" s="514"/>
      <c r="D101" s="510"/>
      <c r="E101" s="508">
        <f t="shared" si="32"/>
        <v>8000</v>
      </c>
      <c r="F101" s="508">
        <f t="shared" si="25"/>
        <v>8000</v>
      </c>
      <c r="G101" s="515"/>
      <c r="H101" s="515">
        <v>8000</v>
      </c>
      <c r="I101" s="515"/>
      <c r="J101" s="515"/>
      <c r="K101" s="515"/>
      <c r="L101" s="515"/>
      <c r="M101" s="515"/>
      <c r="N101" s="514"/>
    </row>
    <row r="102" spans="1:14" s="520" customFormat="1" ht="25.5">
      <c r="A102" s="510"/>
      <c r="B102" s="512" t="s">
        <v>616</v>
      </c>
      <c r="C102" s="514"/>
      <c r="D102" s="510"/>
      <c r="E102" s="508">
        <f t="shared" si="32"/>
        <v>3800</v>
      </c>
      <c r="F102" s="508">
        <f t="shared" si="25"/>
        <v>3800</v>
      </c>
      <c r="G102" s="515"/>
      <c r="H102" s="515">
        <v>3800</v>
      </c>
      <c r="I102" s="515"/>
      <c r="J102" s="515"/>
      <c r="K102" s="515"/>
      <c r="L102" s="515"/>
      <c r="M102" s="515"/>
      <c r="N102" s="514"/>
    </row>
    <row r="103" spans="1:14" s="520" customFormat="1" ht="25.5">
      <c r="A103" s="510"/>
      <c r="B103" s="511" t="s">
        <v>575</v>
      </c>
      <c r="C103" s="514"/>
      <c r="D103" s="510"/>
      <c r="E103" s="508">
        <f t="shared" si="32"/>
        <v>0</v>
      </c>
      <c r="F103" s="508">
        <f t="shared" si="25"/>
        <v>0</v>
      </c>
      <c r="G103" s="515"/>
      <c r="H103" s="515"/>
      <c r="I103" s="515"/>
      <c r="J103" s="515"/>
      <c r="K103" s="515"/>
      <c r="L103" s="515"/>
      <c r="M103" s="515"/>
      <c r="N103" s="514"/>
    </row>
    <row r="104" spans="1:14" s="366" customFormat="1" ht="12.75">
      <c r="A104" s="489">
        <v>5</v>
      </c>
      <c r="B104" s="491" t="s">
        <v>36</v>
      </c>
      <c r="C104" s="491"/>
      <c r="D104" s="489"/>
      <c r="E104" s="487">
        <f t="shared" si="32"/>
        <v>3880</v>
      </c>
      <c r="F104" s="487">
        <f t="shared" si="25"/>
        <v>3880</v>
      </c>
      <c r="G104" s="498">
        <f>SUM(G105:G106)</f>
        <v>880</v>
      </c>
      <c r="H104" s="498">
        <f t="shared" ref="H104:M104" si="37">SUM(H105:H106)</f>
        <v>3000</v>
      </c>
      <c r="I104" s="498">
        <f t="shared" si="37"/>
        <v>0</v>
      </c>
      <c r="J104" s="498">
        <f t="shared" si="37"/>
        <v>0</v>
      </c>
      <c r="K104" s="498">
        <f t="shared" si="37"/>
        <v>0</v>
      </c>
      <c r="L104" s="498">
        <f t="shared" si="37"/>
        <v>0</v>
      </c>
      <c r="M104" s="498">
        <f t="shared" si="37"/>
        <v>0</v>
      </c>
      <c r="N104" s="491"/>
    </row>
    <row r="105" spans="1:14" s="520" customFormat="1" ht="38.25">
      <c r="A105" s="510"/>
      <c r="B105" s="511" t="s">
        <v>617</v>
      </c>
      <c r="C105" s="514" t="s">
        <v>71</v>
      </c>
      <c r="D105" s="510">
        <v>1</v>
      </c>
      <c r="E105" s="508">
        <f t="shared" si="32"/>
        <v>3000</v>
      </c>
      <c r="F105" s="508">
        <f t="shared" si="25"/>
        <v>3000</v>
      </c>
      <c r="G105" s="515"/>
      <c r="H105" s="515">
        <v>3000</v>
      </c>
      <c r="I105" s="515"/>
      <c r="J105" s="515"/>
      <c r="K105" s="515"/>
      <c r="L105" s="515"/>
      <c r="M105" s="515"/>
      <c r="N105" s="532" t="s">
        <v>618</v>
      </c>
    </row>
    <row r="106" spans="1:14" s="520" customFormat="1" ht="25.5">
      <c r="A106" s="510"/>
      <c r="B106" s="511" t="s">
        <v>581</v>
      </c>
      <c r="C106" s="514" t="s">
        <v>432</v>
      </c>
      <c r="D106" s="510">
        <v>22</v>
      </c>
      <c r="E106" s="508">
        <f t="shared" si="32"/>
        <v>880</v>
      </c>
      <c r="F106" s="508">
        <f t="shared" si="25"/>
        <v>880</v>
      </c>
      <c r="G106" s="515">
        <f>D106*40</f>
        <v>880</v>
      </c>
      <c r="H106" s="515"/>
      <c r="I106" s="515"/>
      <c r="J106" s="515"/>
      <c r="K106" s="515"/>
      <c r="L106" s="515"/>
      <c r="M106" s="515"/>
      <c r="N106" s="510"/>
    </row>
    <row r="107" spans="1:14" s="366" customFormat="1" ht="12.75">
      <c r="A107" s="489">
        <v>6</v>
      </c>
      <c r="B107" s="491" t="s">
        <v>39</v>
      </c>
      <c r="C107" s="491"/>
      <c r="D107" s="489"/>
      <c r="E107" s="487">
        <f t="shared" si="32"/>
        <v>3400</v>
      </c>
      <c r="F107" s="487">
        <f t="shared" si="25"/>
        <v>0</v>
      </c>
      <c r="G107" s="498">
        <f>G108</f>
        <v>0</v>
      </c>
      <c r="H107" s="498">
        <f t="shared" ref="H107:M107" si="38">H108</f>
        <v>0</v>
      </c>
      <c r="I107" s="498">
        <f t="shared" si="38"/>
        <v>0</v>
      </c>
      <c r="J107" s="498">
        <f t="shared" si="38"/>
        <v>0</v>
      </c>
      <c r="K107" s="498">
        <f t="shared" si="38"/>
        <v>0</v>
      </c>
      <c r="L107" s="498">
        <f t="shared" si="38"/>
        <v>1700</v>
      </c>
      <c r="M107" s="498">
        <f t="shared" si="38"/>
        <v>1700</v>
      </c>
      <c r="N107" s="489"/>
    </row>
    <row r="108" spans="1:14" s="520" customFormat="1" ht="12.75">
      <c r="A108" s="510"/>
      <c r="B108" s="514" t="s">
        <v>603</v>
      </c>
      <c r="C108" s="514" t="s">
        <v>76</v>
      </c>
      <c r="D108" s="510">
        <v>34</v>
      </c>
      <c r="E108" s="508">
        <f t="shared" si="32"/>
        <v>3400</v>
      </c>
      <c r="F108" s="508">
        <f t="shared" si="25"/>
        <v>0</v>
      </c>
      <c r="G108" s="515"/>
      <c r="H108" s="515"/>
      <c r="I108" s="515"/>
      <c r="J108" s="515"/>
      <c r="K108" s="515"/>
      <c r="L108" s="515">
        <f>D108*50</f>
        <v>1700</v>
      </c>
      <c r="M108" s="515">
        <f>D108*50</f>
        <v>1700</v>
      </c>
      <c r="N108" s="510"/>
    </row>
    <row r="109" spans="1:14" s="366" customFormat="1" ht="12.75">
      <c r="A109" s="489">
        <v>7</v>
      </c>
      <c r="B109" s="497" t="s">
        <v>583</v>
      </c>
      <c r="C109" s="491"/>
      <c r="D109" s="489"/>
      <c r="E109" s="487">
        <f t="shared" si="32"/>
        <v>400</v>
      </c>
      <c r="F109" s="487">
        <f t="shared" si="25"/>
        <v>400</v>
      </c>
      <c r="G109" s="498">
        <f>SUM(G110:G111)</f>
        <v>400</v>
      </c>
      <c r="H109" s="498">
        <f t="shared" ref="H109:M109" si="39">SUM(H110:H111)</f>
        <v>0</v>
      </c>
      <c r="I109" s="498">
        <f t="shared" si="39"/>
        <v>0</v>
      </c>
      <c r="J109" s="498">
        <f t="shared" si="39"/>
        <v>0</v>
      </c>
      <c r="K109" s="498">
        <f t="shared" si="39"/>
        <v>0</v>
      </c>
      <c r="L109" s="498">
        <f t="shared" si="39"/>
        <v>0</v>
      </c>
      <c r="M109" s="498">
        <f t="shared" si="39"/>
        <v>0</v>
      </c>
      <c r="N109" s="489"/>
    </row>
    <row r="110" spans="1:14" s="520" customFormat="1" ht="12.75">
      <c r="A110" s="510"/>
      <c r="B110" s="511" t="s">
        <v>584</v>
      </c>
      <c r="C110" s="514" t="s">
        <v>71</v>
      </c>
      <c r="D110" s="510">
        <v>1</v>
      </c>
      <c r="E110" s="508">
        <f t="shared" si="32"/>
        <v>200</v>
      </c>
      <c r="F110" s="508">
        <f t="shared" si="25"/>
        <v>200</v>
      </c>
      <c r="G110" s="515">
        <v>200</v>
      </c>
      <c r="H110" s="515"/>
      <c r="I110" s="515"/>
      <c r="J110" s="515"/>
      <c r="K110" s="515"/>
      <c r="L110" s="515"/>
      <c r="M110" s="515"/>
      <c r="N110" s="510"/>
    </row>
    <row r="111" spans="1:14" s="520" customFormat="1" ht="25.5">
      <c r="A111" s="510"/>
      <c r="B111" s="511" t="s">
        <v>587</v>
      </c>
      <c r="C111" s="514" t="s">
        <v>71</v>
      </c>
      <c r="D111" s="510">
        <v>1</v>
      </c>
      <c r="E111" s="508">
        <f>SUM(F111,J111:M111)</f>
        <v>200</v>
      </c>
      <c r="F111" s="508">
        <f>SUM(G111:I111)</f>
        <v>200</v>
      </c>
      <c r="G111" s="515">
        <v>200</v>
      </c>
      <c r="H111" s="515"/>
      <c r="I111" s="515"/>
      <c r="J111" s="515"/>
      <c r="K111" s="515"/>
      <c r="L111" s="515"/>
      <c r="M111" s="515"/>
      <c r="N111" s="510"/>
    </row>
    <row r="112" spans="1:14" s="366" customFormat="1" ht="12.75">
      <c r="A112" s="489" t="s">
        <v>82</v>
      </c>
      <c r="B112" s="491" t="s">
        <v>619</v>
      </c>
      <c r="C112" s="491"/>
      <c r="D112" s="489"/>
      <c r="E112" s="487">
        <f t="shared" si="32"/>
        <v>26474</v>
      </c>
      <c r="F112" s="487">
        <f t="shared" si="25"/>
        <v>25597</v>
      </c>
      <c r="G112" s="498">
        <f t="shared" ref="G112:L112" si="40">G113+G115+G120+G130+G132+G134</f>
        <v>768</v>
      </c>
      <c r="H112" s="498">
        <f t="shared" si="40"/>
        <v>24829</v>
      </c>
      <c r="I112" s="498">
        <f t="shared" si="40"/>
        <v>0</v>
      </c>
      <c r="J112" s="498">
        <f t="shared" si="40"/>
        <v>0</v>
      </c>
      <c r="K112" s="498">
        <f t="shared" si="40"/>
        <v>0</v>
      </c>
      <c r="L112" s="498">
        <f t="shared" si="40"/>
        <v>877</v>
      </c>
      <c r="M112" s="498">
        <f>M113+M115+M120+M132+M134</f>
        <v>0</v>
      </c>
      <c r="N112" s="489"/>
    </row>
    <row r="113" spans="1:14" s="366" customFormat="1" ht="12.75">
      <c r="A113" s="489">
        <v>1</v>
      </c>
      <c r="B113" s="486" t="s">
        <v>28</v>
      </c>
      <c r="C113" s="486"/>
      <c r="D113" s="486"/>
      <c r="E113" s="487">
        <f>SUM(F113,J113:M113)</f>
        <v>129</v>
      </c>
      <c r="F113" s="487">
        <f>SUM(G113:I113)</f>
        <v>129</v>
      </c>
      <c r="G113" s="487">
        <f>G114</f>
        <v>0</v>
      </c>
      <c r="H113" s="487">
        <f t="shared" ref="H113:M113" si="41">H114</f>
        <v>129</v>
      </c>
      <c r="I113" s="487">
        <f t="shared" si="41"/>
        <v>0</v>
      </c>
      <c r="J113" s="487">
        <f t="shared" si="41"/>
        <v>0</v>
      </c>
      <c r="K113" s="487">
        <f t="shared" si="41"/>
        <v>0</v>
      </c>
      <c r="L113" s="487">
        <f t="shared" si="41"/>
        <v>0</v>
      </c>
      <c r="M113" s="487">
        <f t="shared" si="41"/>
        <v>0</v>
      </c>
      <c r="N113" s="489"/>
    </row>
    <row r="114" spans="1:14" s="366" customFormat="1" ht="38.25">
      <c r="A114" s="492"/>
      <c r="B114" s="493" t="s">
        <v>563</v>
      </c>
      <c r="C114" s="494" t="s">
        <v>71</v>
      </c>
      <c r="D114" s="494">
        <v>1</v>
      </c>
      <c r="E114" s="495">
        <f>SUM(F114,J114:M114)</f>
        <v>129</v>
      </c>
      <c r="F114" s="495">
        <f>SUM(G114:I114)</f>
        <v>129</v>
      </c>
      <c r="G114" s="495"/>
      <c r="H114" s="495">
        <v>129</v>
      </c>
      <c r="I114" s="496"/>
      <c r="J114" s="496"/>
      <c r="K114" s="496"/>
      <c r="L114" s="496"/>
      <c r="M114" s="496"/>
      <c r="N114" s="494"/>
    </row>
    <row r="115" spans="1:14" s="366" customFormat="1" ht="12.75">
      <c r="A115" s="489">
        <v>2</v>
      </c>
      <c r="B115" s="497" t="s">
        <v>29</v>
      </c>
      <c r="C115" s="491"/>
      <c r="D115" s="489"/>
      <c r="E115" s="487">
        <f t="shared" si="32"/>
        <v>1445</v>
      </c>
      <c r="F115" s="487">
        <f>SUM(G115:I115)</f>
        <v>568</v>
      </c>
      <c r="G115" s="498">
        <f t="shared" ref="G115:L115" si="42">SUM(G116:G119)</f>
        <v>568</v>
      </c>
      <c r="H115" s="498">
        <f t="shared" si="42"/>
        <v>0</v>
      </c>
      <c r="I115" s="498">
        <f t="shared" si="42"/>
        <v>0</v>
      </c>
      <c r="J115" s="498">
        <f t="shared" si="42"/>
        <v>0</v>
      </c>
      <c r="K115" s="498">
        <f t="shared" si="42"/>
        <v>0</v>
      </c>
      <c r="L115" s="498">
        <f t="shared" si="42"/>
        <v>877</v>
      </c>
      <c r="M115" s="498">
        <f>SUM(M117:M119)</f>
        <v>0</v>
      </c>
      <c r="N115" s="491"/>
    </row>
    <row r="116" spans="1:14" s="366" customFormat="1" ht="25.5">
      <c r="A116" s="492"/>
      <c r="B116" s="493" t="s">
        <v>620</v>
      </c>
      <c r="C116" s="499" t="s">
        <v>529</v>
      </c>
      <c r="D116" s="492">
        <v>10</v>
      </c>
      <c r="E116" s="496">
        <f t="shared" si="32"/>
        <v>10</v>
      </c>
      <c r="F116" s="496">
        <f>SUM(G116:I116)</f>
        <v>0</v>
      </c>
      <c r="G116" s="501"/>
      <c r="H116" s="501"/>
      <c r="I116" s="501"/>
      <c r="J116" s="501"/>
      <c r="K116" s="501"/>
      <c r="L116" s="501">
        <v>10</v>
      </c>
      <c r="M116" s="501"/>
      <c r="N116" s="499"/>
    </row>
    <row r="117" spans="1:14" s="366" customFormat="1" ht="25.5">
      <c r="A117" s="492"/>
      <c r="B117" s="493" t="s">
        <v>621</v>
      </c>
      <c r="C117" s="499" t="s">
        <v>69</v>
      </c>
      <c r="D117" s="492">
        <v>1.1000000000000001</v>
      </c>
      <c r="E117" s="496">
        <f t="shared" si="32"/>
        <v>880</v>
      </c>
      <c r="F117" s="496">
        <f t="shared" si="25"/>
        <v>352</v>
      </c>
      <c r="G117" s="501">
        <f>800*0.4*D117</f>
        <v>352</v>
      </c>
      <c r="H117" s="501"/>
      <c r="I117" s="501"/>
      <c r="J117" s="501"/>
      <c r="K117" s="501"/>
      <c r="L117" s="501">
        <f>800*0.6*D117</f>
        <v>528</v>
      </c>
      <c r="M117" s="501"/>
      <c r="N117" s="499"/>
    </row>
    <row r="118" spans="1:14" s="366" customFormat="1" ht="25.5">
      <c r="A118" s="492"/>
      <c r="B118" s="493" t="s">
        <v>622</v>
      </c>
      <c r="C118" s="499" t="s">
        <v>529</v>
      </c>
      <c r="D118" s="492">
        <v>15</v>
      </c>
      <c r="E118" s="496">
        <f t="shared" si="32"/>
        <v>15</v>
      </c>
      <c r="F118" s="496">
        <f t="shared" si="25"/>
        <v>0</v>
      </c>
      <c r="G118" s="501"/>
      <c r="H118" s="501"/>
      <c r="I118" s="501"/>
      <c r="J118" s="501"/>
      <c r="K118" s="501"/>
      <c r="L118" s="501">
        <v>15</v>
      </c>
      <c r="M118" s="501"/>
      <c r="N118" s="499"/>
    </row>
    <row r="119" spans="1:14" s="366" customFormat="1" ht="12.75">
      <c r="A119" s="492"/>
      <c r="B119" s="493" t="s">
        <v>591</v>
      </c>
      <c r="C119" s="499" t="s">
        <v>69</v>
      </c>
      <c r="D119" s="492">
        <v>0.9</v>
      </c>
      <c r="E119" s="496">
        <f t="shared" si="32"/>
        <v>540</v>
      </c>
      <c r="F119" s="496">
        <f>SUM(G119:I119)</f>
        <v>216</v>
      </c>
      <c r="G119" s="501">
        <f>600*0.4*D119</f>
        <v>216</v>
      </c>
      <c r="H119" s="501"/>
      <c r="I119" s="501"/>
      <c r="J119" s="501"/>
      <c r="K119" s="501"/>
      <c r="L119" s="501">
        <f>600*0.6*D119</f>
        <v>324</v>
      </c>
      <c r="M119" s="501"/>
      <c r="N119" s="499"/>
    </row>
    <row r="120" spans="1:14" s="366" customFormat="1" ht="12.75">
      <c r="A120" s="489">
        <v>3</v>
      </c>
      <c r="B120" s="497" t="s">
        <v>424</v>
      </c>
      <c r="C120" s="491"/>
      <c r="D120" s="489"/>
      <c r="E120" s="487">
        <f t="shared" si="32"/>
        <v>22000</v>
      </c>
      <c r="F120" s="487">
        <f t="shared" si="25"/>
        <v>22000</v>
      </c>
      <c r="G120" s="498">
        <f t="shared" ref="G120:M120" si="43">G121+G124+G127</f>
        <v>0</v>
      </c>
      <c r="H120" s="498">
        <f t="shared" si="43"/>
        <v>22000</v>
      </c>
      <c r="I120" s="498">
        <f t="shared" si="43"/>
        <v>0</v>
      </c>
      <c r="J120" s="498">
        <f t="shared" si="43"/>
        <v>0</v>
      </c>
      <c r="K120" s="498">
        <f t="shared" si="43"/>
        <v>0</v>
      </c>
      <c r="L120" s="498">
        <f t="shared" si="43"/>
        <v>0</v>
      </c>
      <c r="M120" s="498">
        <f t="shared" si="43"/>
        <v>0</v>
      </c>
      <c r="N120" s="491"/>
    </row>
    <row r="121" spans="1:14" s="520" customFormat="1" ht="13.5">
      <c r="A121" s="521" t="s">
        <v>571</v>
      </c>
      <c r="B121" s="522" t="s">
        <v>623</v>
      </c>
      <c r="C121" s="525"/>
      <c r="D121" s="521"/>
      <c r="E121" s="524">
        <f t="shared" si="32"/>
        <v>5600</v>
      </c>
      <c r="F121" s="524">
        <f t="shared" si="25"/>
        <v>5600</v>
      </c>
      <c r="G121" s="526">
        <f t="shared" ref="G121:M121" si="44">SUM(G122:G123)</f>
        <v>0</v>
      </c>
      <c r="H121" s="526">
        <f t="shared" si="44"/>
        <v>5600</v>
      </c>
      <c r="I121" s="526">
        <f t="shared" si="44"/>
        <v>0</v>
      </c>
      <c r="J121" s="526">
        <f t="shared" si="44"/>
        <v>0</v>
      </c>
      <c r="K121" s="526">
        <f t="shared" si="44"/>
        <v>0</v>
      </c>
      <c r="L121" s="526">
        <f t="shared" si="44"/>
        <v>0</v>
      </c>
      <c r="M121" s="526">
        <f t="shared" si="44"/>
        <v>0</v>
      </c>
      <c r="N121" s="525"/>
    </row>
    <row r="122" spans="1:14" s="520" customFormat="1" ht="76.5">
      <c r="A122" s="510"/>
      <c r="B122" s="511" t="s">
        <v>689</v>
      </c>
      <c r="C122" s="514"/>
      <c r="D122" s="510"/>
      <c r="E122" s="508">
        <f t="shared" si="32"/>
        <v>4800</v>
      </c>
      <c r="F122" s="508">
        <f t="shared" si="25"/>
        <v>4800</v>
      </c>
      <c r="G122" s="515"/>
      <c r="H122" s="515">
        <f>4200+600</f>
        <v>4800</v>
      </c>
      <c r="I122" s="515"/>
      <c r="J122" s="515"/>
      <c r="K122" s="515"/>
      <c r="L122" s="515"/>
      <c r="M122" s="515"/>
      <c r="N122" s="511"/>
    </row>
    <row r="123" spans="1:14" s="520" customFormat="1" ht="25.5">
      <c r="A123" s="510"/>
      <c r="B123" s="511" t="s">
        <v>690</v>
      </c>
      <c r="C123" s="514"/>
      <c r="D123" s="510"/>
      <c r="E123" s="508">
        <f t="shared" si="32"/>
        <v>800</v>
      </c>
      <c r="F123" s="508">
        <f t="shared" si="25"/>
        <v>800</v>
      </c>
      <c r="G123" s="515"/>
      <c r="H123" s="515">
        <v>800</v>
      </c>
      <c r="I123" s="515"/>
      <c r="J123" s="515"/>
      <c r="K123" s="515"/>
      <c r="L123" s="515"/>
      <c r="M123" s="515"/>
      <c r="N123" s="514"/>
    </row>
    <row r="124" spans="1:14" s="520" customFormat="1" ht="13.5">
      <c r="A124" s="521" t="s">
        <v>571</v>
      </c>
      <c r="B124" s="522" t="s">
        <v>624</v>
      </c>
      <c r="C124" s="525"/>
      <c r="D124" s="521"/>
      <c r="E124" s="524">
        <f t="shared" si="32"/>
        <v>6900</v>
      </c>
      <c r="F124" s="524">
        <f t="shared" si="25"/>
        <v>6900</v>
      </c>
      <c r="G124" s="526">
        <f t="shared" ref="G124:M124" si="45">SUM(G125:G126)</f>
        <v>0</v>
      </c>
      <c r="H124" s="526">
        <f t="shared" si="45"/>
        <v>6900</v>
      </c>
      <c r="I124" s="526">
        <f t="shared" si="45"/>
        <v>0</v>
      </c>
      <c r="J124" s="526">
        <f t="shared" si="45"/>
        <v>0</v>
      </c>
      <c r="K124" s="526">
        <f t="shared" si="45"/>
        <v>0</v>
      </c>
      <c r="L124" s="526">
        <f t="shared" si="45"/>
        <v>0</v>
      </c>
      <c r="M124" s="526">
        <f t="shared" si="45"/>
        <v>0</v>
      </c>
      <c r="N124" s="525"/>
    </row>
    <row r="125" spans="1:14" s="520" customFormat="1" ht="127.5">
      <c r="A125" s="510"/>
      <c r="B125" s="511" t="s">
        <v>625</v>
      </c>
      <c r="C125" s="514"/>
      <c r="D125" s="510"/>
      <c r="E125" s="508">
        <f t="shared" si="32"/>
        <v>6000</v>
      </c>
      <c r="F125" s="508">
        <f t="shared" si="25"/>
        <v>6000</v>
      </c>
      <c r="G125" s="515"/>
      <c r="H125" s="515">
        <v>6000</v>
      </c>
      <c r="I125" s="515"/>
      <c r="J125" s="515"/>
      <c r="K125" s="515"/>
      <c r="L125" s="515"/>
      <c r="M125" s="515"/>
      <c r="N125" s="511"/>
    </row>
    <row r="126" spans="1:14" s="520" customFormat="1" ht="25.5">
      <c r="A126" s="510"/>
      <c r="B126" s="511" t="s">
        <v>600</v>
      </c>
      <c r="C126" s="514"/>
      <c r="D126" s="510"/>
      <c r="E126" s="508">
        <f t="shared" si="32"/>
        <v>900</v>
      </c>
      <c r="F126" s="508">
        <f t="shared" si="25"/>
        <v>900</v>
      </c>
      <c r="G126" s="515"/>
      <c r="H126" s="515">
        <v>900</v>
      </c>
      <c r="I126" s="515"/>
      <c r="J126" s="515"/>
      <c r="K126" s="515"/>
      <c r="L126" s="515"/>
      <c r="M126" s="515"/>
      <c r="N126" s="514"/>
    </row>
    <row r="127" spans="1:14" s="520" customFormat="1" ht="13.5">
      <c r="A127" s="521" t="s">
        <v>571</v>
      </c>
      <c r="B127" s="522" t="s">
        <v>626</v>
      </c>
      <c r="C127" s="525"/>
      <c r="D127" s="521"/>
      <c r="E127" s="524">
        <f t="shared" si="32"/>
        <v>9500</v>
      </c>
      <c r="F127" s="524">
        <f t="shared" si="25"/>
        <v>9500</v>
      </c>
      <c r="G127" s="526">
        <f t="shared" ref="G127:M127" si="46">SUM(G128:G129)</f>
        <v>0</v>
      </c>
      <c r="H127" s="526">
        <f t="shared" si="46"/>
        <v>9500</v>
      </c>
      <c r="I127" s="526">
        <f t="shared" si="46"/>
        <v>0</v>
      </c>
      <c r="J127" s="526">
        <f t="shared" si="46"/>
        <v>0</v>
      </c>
      <c r="K127" s="526">
        <f t="shared" si="46"/>
        <v>0</v>
      </c>
      <c r="L127" s="526">
        <f t="shared" si="46"/>
        <v>0</v>
      </c>
      <c r="M127" s="526">
        <f t="shared" si="46"/>
        <v>0</v>
      </c>
      <c r="N127" s="525"/>
    </row>
    <row r="128" spans="1:14" s="520" customFormat="1" ht="76.5">
      <c r="A128" s="510"/>
      <c r="B128" s="511" t="s">
        <v>691</v>
      </c>
      <c r="C128" s="514"/>
      <c r="D128" s="510"/>
      <c r="E128" s="508">
        <f t="shared" si="32"/>
        <v>4500</v>
      </c>
      <c r="F128" s="508">
        <f t="shared" si="25"/>
        <v>4500</v>
      </c>
      <c r="G128" s="515"/>
      <c r="H128" s="515">
        <v>4500</v>
      </c>
      <c r="I128" s="515"/>
      <c r="J128" s="515"/>
      <c r="K128" s="515"/>
      <c r="L128" s="515"/>
      <c r="M128" s="515"/>
      <c r="N128" s="535"/>
    </row>
    <row r="129" spans="1:14" s="520" customFormat="1" ht="63.75">
      <c r="A129" s="510"/>
      <c r="B129" s="511" t="s">
        <v>692</v>
      </c>
      <c r="C129" s="514"/>
      <c r="D129" s="510"/>
      <c r="E129" s="508">
        <f t="shared" si="32"/>
        <v>5000</v>
      </c>
      <c r="F129" s="508">
        <f t="shared" si="25"/>
        <v>5000</v>
      </c>
      <c r="G129" s="515"/>
      <c r="H129" s="515">
        <v>5000</v>
      </c>
      <c r="I129" s="515"/>
      <c r="J129" s="515"/>
      <c r="K129" s="515"/>
      <c r="L129" s="515"/>
      <c r="M129" s="515"/>
      <c r="N129" s="532" t="s">
        <v>627</v>
      </c>
    </row>
    <row r="130" spans="1:14" s="366" customFormat="1" ht="12.75">
      <c r="A130" s="489">
        <v>4</v>
      </c>
      <c r="B130" s="497" t="s">
        <v>433</v>
      </c>
      <c r="C130" s="491"/>
      <c r="D130" s="489"/>
      <c r="E130" s="487">
        <f t="shared" si="32"/>
        <v>700</v>
      </c>
      <c r="F130" s="487">
        <f t="shared" si="25"/>
        <v>700</v>
      </c>
      <c r="G130" s="498">
        <f>G131</f>
        <v>0</v>
      </c>
      <c r="H130" s="498">
        <f t="shared" ref="H130:M130" si="47">H131</f>
        <v>700</v>
      </c>
      <c r="I130" s="498">
        <f t="shared" si="47"/>
        <v>0</v>
      </c>
      <c r="J130" s="498">
        <f t="shared" si="47"/>
        <v>0</v>
      </c>
      <c r="K130" s="498">
        <f t="shared" si="47"/>
        <v>0</v>
      </c>
      <c r="L130" s="498">
        <f t="shared" si="47"/>
        <v>0</v>
      </c>
      <c r="M130" s="498">
        <f t="shared" si="47"/>
        <v>0</v>
      </c>
      <c r="N130" s="497"/>
    </row>
    <row r="131" spans="1:14" s="520" customFormat="1" ht="12.75">
      <c r="A131" s="510"/>
      <c r="B131" s="511" t="s">
        <v>628</v>
      </c>
      <c r="C131" s="514" t="s">
        <v>71</v>
      </c>
      <c r="D131" s="510">
        <v>1</v>
      </c>
      <c r="E131" s="508">
        <f t="shared" si="32"/>
        <v>700</v>
      </c>
      <c r="F131" s="508">
        <f t="shared" si="25"/>
        <v>700</v>
      </c>
      <c r="G131" s="515"/>
      <c r="H131" s="515">
        <v>700</v>
      </c>
      <c r="I131" s="515"/>
      <c r="J131" s="515"/>
      <c r="K131" s="515"/>
      <c r="L131" s="515"/>
      <c r="M131" s="515"/>
      <c r="N131" s="511"/>
    </row>
    <row r="132" spans="1:14" s="366" customFormat="1" ht="12.75">
      <c r="A132" s="489">
        <v>5</v>
      </c>
      <c r="B132" s="491" t="s">
        <v>44</v>
      </c>
      <c r="C132" s="491"/>
      <c r="D132" s="489"/>
      <c r="E132" s="487">
        <f t="shared" si="32"/>
        <v>200</v>
      </c>
      <c r="F132" s="487">
        <f t="shared" si="25"/>
        <v>200</v>
      </c>
      <c r="G132" s="498">
        <f t="shared" ref="G132:M132" si="48">G133</f>
        <v>200</v>
      </c>
      <c r="H132" s="498">
        <f t="shared" si="48"/>
        <v>0</v>
      </c>
      <c r="I132" s="498">
        <f t="shared" si="48"/>
        <v>0</v>
      </c>
      <c r="J132" s="498">
        <f t="shared" si="48"/>
        <v>0</v>
      </c>
      <c r="K132" s="498">
        <f t="shared" si="48"/>
        <v>0</v>
      </c>
      <c r="L132" s="498">
        <f t="shared" si="48"/>
        <v>0</v>
      </c>
      <c r="M132" s="498">
        <f t="shared" si="48"/>
        <v>0</v>
      </c>
      <c r="N132" s="491"/>
    </row>
    <row r="133" spans="1:14" s="520" customFormat="1" ht="12.75">
      <c r="A133" s="510"/>
      <c r="B133" s="511" t="s">
        <v>629</v>
      </c>
      <c r="C133" s="514" t="s">
        <v>71</v>
      </c>
      <c r="D133" s="510">
        <v>1</v>
      </c>
      <c r="E133" s="508">
        <f t="shared" si="32"/>
        <v>200</v>
      </c>
      <c r="F133" s="508">
        <f t="shared" ref="F133:F138" si="49">SUM(G133:I133)</f>
        <v>200</v>
      </c>
      <c r="G133" s="515">
        <v>200</v>
      </c>
      <c r="H133" s="515"/>
      <c r="I133" s="515"/>
      <c r="J133" s="515"/>
      <c r="K133" s="515"/>
      <c r="L133" s="515"/>
      <c r="M133" s="515"/>
      <c r="N133" s="514"/>
    </row>
    <row r="134" spans="1:14" s="366" customFormat="1" ht="12.75">
      <c r="A134" s="489">
        <v>6</v>
      </c>
      <c r="B134" s="497" t="s">
        <v>389</v>
      </c>
      <c r="C134" s="491"/>
      <c r="D134" s="489"/>
      <c r="E134" s="487">
        <f t="shared" si="32"/>
        <v>2000</v>
      </c>
      <c r="F134" s="487">
        <f t="shared" si="49"/>
        <v>2000</v>
      </c>
      <c r="G134" s="498">
        <f t="shared" ref="G134:M134" si="50">G135</f>
        <v>0</v>
      </c>
      <c r="H134" s="498">
        <f t="shared" si="50"/>
        <v>2000</v>
      </c>
      <c r="I134" s="498">
        <f t="shared" si="50"/>
        <v>0</v>
      </c>
      <c r="J134" s="498">
        <f t="shared" si="50"/>
        <v>0</v>
      </c>
      <c r="K134" s="498">
        <f t="shared" si="50"/>
        <v>0</v>
      </c>
      <c r="L134" s="498">
        <f t="shared" si="50"/>
        <v>0</v>
      </c>
      <c r="M134" s="498">
        <f t="shared" si="50"/>
        <v>0</v>
      </c>
      <c r="N134" s="491"/>
    </row>
    <row r="135" spans="1:14" s="520" customFormat="1" ht="25.5">
      <c r="A135" s="510"/>
      <c r="B135" s="511" t="s">
        <v>585</v>
      </c>
      <c r="C135" s="514" t="s">
        <v>71</v>
      </c>
      <c r="D135" s="510">
        <v>1</v>
      </c>
      <c r="E135" s="508">
        <f t="shared" si="32"/>
        <v>2000</v>
      </c>
      <c r="F135" s="508">
        <f t="shared" si="49"/>
        <v>2000</v>
      </c>
      <c r="G135" s="515"/>
      <c r="H135" s="515">
        <v>2000</v>
      </c>
      <c r="I135" s="515"/>
      <c r="J135" s="515"/>
      <c r="K135" s="515"/>
      <c r="L135" s="515"/>
      <c r="M135" s="515"/>
      <c r="N135" s="514"/>
    </row>
    <row r="136" spans="1:14" s="366" customFormat="1" ht="12.75">
      <c r="A136" s="489" t="s">
        <v>87</v>
      </c>
      <c r="B136" s="491" t="s">
        <v>630</v>
      </c>
      <c r="C136" s="491"/>
      <c r="D136" s="489"/>
      <c r="E136" s="487">
        <f t="shared" si="32"/>
        <v>6129</v>
      </c>
      <c r="F136" s="487">
        <f t="shared" si="49"/>
        <v>6129</v>
      </c>
      <c r="G136" s="498">
        <f t="shared" ref="G136:M136" si="51">G137+G139+G145+G147+G149</f>
        <v>800</v>
      </c>
      <c r="H136" s="498">
        <f t="shared" si="51"/>
        <v>5329</v>
      </c>
      <c r="I136" s="498">
        <f t="shared" si="51"/>
        <v>0</v>
      </c>
      <c r="J136" s="498">
        <f t="shared" si="51"/>
        <v>0</v>
      </c>
      <c r="K136" s="498">
        <f t="shared" si="51"/>
        <v>0</v>
      </c>
      <c r="L136" s="498">
        <f t="shared" si="51"/>
        <v>0</v>
      </c>
      <c r="M136" s="498">
        <f t="shared" si="51"/>
        <v>0</v>
      </c>
      <c r="N136" s="491"/>
    </row>
    <row r="137" spans="1:14" s="366" customFormat="1" ht="12.75">
      <c r="A137" s="489">
        <v>1</v>
      </c>
      <c r="B137" s="490" t="s">
        <v>28</v>
      </c>
      <c r="C137" s="486"/>
      <c r="D137" s="486"/>
      <c r="E137" s="487">
        <f t="shared" si="32"/>
        <v>129</v>
      </c>
      <c r="F137" s="487">
        <f t="shared" si="49"/>
        <v>129</v>
      </c>
      <c r="G137" s="487">
        <f>G138</f>
        <v>0</v>
      </c>
      <c r="H137" s="487">
        <f t="shared" ref="H137:M137" si="52">H138</f>
        <v>129</v>
      </c>
      <c r="I137" s="487">
        <f t="shared" si="52"/>
        <v>0</v>
      </c>
      <c r="J137" s="487">
        <f t="shared" si="52"/>
        <v>0</v>
      </c>
      <c r="K137" s="487">
        <f t="shared" si="52"/>
        <v>0</v>
      </c>
      <c r="L137" s="487">
        <f t="shared" si="52"/>
        <v>0</v>
      </c>
      <c r="M137" s="487">
        <f t="shared" si="52"/>
        <v>0</v>
      </c>
      <c r="N137" s="491"/>
    </row>
    <row r="138" spans="1:14" s="366" customFormat="1" ht="38.25">
      <c r="A138" s="492"/>
      <c r="B138" s="493" t="s">
        <v>563</v>
      </c>
      <c r="C138" s="494" t="s">
        <v>71</v>
      </c>
      <c r="D138" s="494">
        <v>1</v>
      </c>
      <c r="E138" s="495">
        <f t="shared" si="32"/>
        <v>129</v>
      </c>
      <c r="F138" s="495">
        <f t="shared" si="49"/>
        <v>129</v>
      </c>
      <c r="G138" s="495"/>
      <c r="H138" s="495">
        <v>129</v>
      </c>
      <c r="I138" s="496"/>
      <c r="J138" s="496"/>
      <c r="K138" s="496"/>
      <c r="L138" s="496"/>
      <c r="M138" s="496"/>
      <c r="N138" s="494"/>
    </row>
    <row r="139" spans="1:14" s="366" customFormat="1" ht="12.75">
      <c r="A139" s="489">
        <v>2</v>
      </c>
      <c r="B139" s="491" t="s">
        <v>424</v>
      </c>
      <c r="C139" s="491"/>
      <c r="D139" s="489"/>
      <c r="E139" s="487">
        <f>SUM(F139,J139:M139)</f>
        <v>4500</v>
      </c>
      <c r="F139" s="487">
        <f>SUM(G139:I139)</f>
        <v>4500</v>
      </c>
      <c r="G139" s="491">
        <f t="shared" ref="G139:M139" si="53">G140+G141+G142</f>
        <v>0</v>
      </c>
      <c r="H139" s="517">
        <f t="shared" si="53"/>
        <v>4500</v>
      </c>
      <c r="I139" s="491">
        <f t="shared" si="53"/>
        <v>0</v>
      </c>
      <c r="J139" s="491">
        <f t="shared" si="53"/>
        <v>0</v>
      </c>
      <c r="K139" s="491">
        <f t="shared" si="53"/>
        <v>0</v>
      </c>
      <c r="L139" s="491">
        <f t="shared" si="53"/>
        <v>0</v>
      </c>
      <c r="M139" s="491">
        <f t="shared" si="53"/>
        <v>0</v>
      </c>
      <c r="N139" s="491"/>
    </row>
    <row r="140" spans="1:14" s="520" customFormat="1" ht="39">
      <c r="A140" s="521" t="s">
        <v>571</v>
      </c>
      <c r="B140" s="536" t="s">
        <v>693</v>
      </c>
      <c r="C140" s="525" t="s">
        <v>71</v>
      </c>
      <c r="D140" s="521">
        <v>1</v>
      </c>
      <c r="E140" s="524">
        <f t="shared" ref="E140:E150" si="54">SUM(F140,J140:M140)</f>
        <v>900</v>
      </c>
      <c r="F140" s="524">
        <f t="shared" ref="F140:F150" si="55">SUM(G140:I140)</f>
        <v>900</v>
      </c>
      <c r="G140" s="525"/>
      <c r="H140" s="525">
        <v>900</v>
      </c>
      <c r="I140" s="525"/>
      <c r="J140" s="525"/>
      <c r="K140" s="525"/>
      <c r="L140" s="525"/>
      <c r="M140" s="525"/>
      <c r="N140" s="529"/>
    </row>
    <row r="141" spans="1:14" s="520" customFormat="1" ht="39">
      <c r="A141" s="521" t="s">
        <v>571</v>
      </c>
      <c r="B141" s="534" t="s">
        <v>694</v>
      </c>
      <c r="C141" s="525" t="s">
        <v>71</v>
      </c>
      <c r="D141" s="521">
        <v>1</v>
      </c>
      <c r="E141" s="524">
        <f t="shared" si="54"/>
        <v>700</v>
      </c>
      <c r="F141" s="524">
        <f t="shared" si="55"/>
        <v>700</v>
      </c>
      <c r="G141" s="525"/>
      <c r="H141" s="525">
        <v>700</v>
      </c>
      <c r="I141" s="525"/>
      <c r="J141" s="525"/>
      <c r="K141" s="525"/>
      <c r="L141" s="525"/>
      <c r="M141" s="525"/>
      <c r="N141" s="525"/>
    </row>
    <row r="142" spans="1:14" s="520" customFormat="1" ht="13.5">
      <c r="A142" s="521" t="s">
        <v>571</v>
      </c>
      <c r="B142" s="525" t="s">
        <v>631</v>
      </c>
      <c r="C142" s="525" t="s">
        <v>71</v>
      </c>
      <c r="D142" s="521">
        <v>1</v>
      </c>
      <c r="E142" s="524">
        <f t="shared" si="54"/>
        <v>2900</v>
      </c>
      <c r="F142" s="524">
        <f t="shared" si="55"/>
        <v>2900</v>
      </c>
      <c r="G142" s="525">
        <f t="shared" ref="G142:M142" si="56">SUM(G143:G144)</f>
        <v>0</v>
      </c>
      <c r="H142" s="537">
        <f t="shared" si="56"/>
        <v>2900</v>
      </c>
      <c r="I142" s="525">
        <f t="shared" si="56"/>
        <v>0</v>
      </c>
      <c r="J142" s="525">
        <f t="shared" si="56"/>
        <v>0</v>
      </c>
      <c r="K142" s="525">
        <f t="shared" si="56"/>
        <v>0</v>
      </c>
      <c r="L142" s="525">
        <f t="shared" si="56"/>
        <v>0</v>
      </c>
      <c r="M142" s="525">
        <f t="shared" si="56"/>
        <v>0</v>
      </c>
      <c r="N142" s="1595" t="s">
        <v>632</v>
      </c>
    </row>
    <row r="143" spans="1:14" s="520" customFormat="1" ht="38.25">
      <c r="A143" s="510"/>
      <c r="B143" s="511" t="s">
        <v>633</v>
      </c>
      <c r="C143" s="514"/>
      <c r="D143" s="514"/>
      <c r="E143" s="508">
        <f t="shared" si="54"/>
        <v>2000</v>
      </c>
      <c r="F143" s="508">
        <f t="shared" si="55"/>
        <v>2000</v>
      </c>
      <c r="G143" s="514"/>
      <c r="H143" s="538">
        <v>2000</v>
      </c>
      <c r="I143" s="514"/>
      <c r="J143" s="514"/>
      <c r="K143" s="514"/>
      <c r="L143" s="514"/>
      <c r="M143" s="514"/>
      <c r="N143" s="1595"/>
    </row>
    <row r="144" spans="1:14" s="520" customFormat="1" ht="25.5">
      <c r="A144" s="510"/>
      <c r="B144" s="511" t="s">
        <v>600</v>
      </c>
      <c r="C144" s="514"/>
      <c r="D144" s="514"/>
      <c r="E144" s="508">
        <f t="shared" si="54"/>
        <v>900</v>
      </c>
      <c r="F144" s="508">
        <f t="shared" si="55"/>
        <v>900</v>
      </c>
      <c r="G144" s="514"/>
      <c r="H144" s="538">
        <v>900</v>
      </c>
      <c r="I144" s="514"/>
      <c r="J144" s="514"/>
      <c r="K144" s="514"/>
      <c r="L144" s="514"/>
      <c r="M144" s="514"/>
      <c r="N144" s="1595"/>
    </row>
    <row r="145" spans="1:14" s="366" customFormat="1" ht="12.75">
      <c r="A145" s="489">
        <v>3</v>
      </c>
      <c r="B145" s="491" t="s">
        <v>36</v>
      </c>
      <c r="C145" s="491"/>
      <c r="D145" s="489"/>
      <c r="E145" s="487">
        <f t="shared" si="54"/>
        <v>600</v>
      </c>
      <c r="F145" s="487">
        <f t="shared" si="55"/>
        <v>600</v>
      </c>
      <c r="G145" s="491">
        <f t="shared" ref="G145:M145" si="57">SUM(G146:G146)</f>
        <v>600</v>
      </c>
      <c r="H145" s="517">
        <f t="shared" si="57"/>
        <v>0</v>
      </c>
      <c r="I145" s="491">
        <f t="shared" si="57"/>
        <v>0</v>
      </c>
      <c r="J145" s="491">
        <f t="shared" si="57"/>
        <v>0</v>
      </c>
      <c r="K145" s="491">
        <f t="shared" si="57"/>
        <v>0</v>
      </c>
      <c r="L145" s="491">
        <f t="shared" si="57"/>
        <v>0</v>
      </c>
      <c r="M145" s="491">
        <f t="shared" si="57"/>
        <v>0</v>
      </c>
      <c r="N145" s="491"/>
    </row>
    <row r="146" spans="1:14" s="366" customFormat="1" ht="25.5">
      <c r="A146" s="492"/>
      <c r="B146" s="493" t="s">
        <v>634</v>
      </c>
      <c r="C146" s="499" t="s">
        <v>71</v>
      </c>
      <c r="D146" s="492">
        <v>1</v>
      </c>
      <c r="E146" s="496">
        <f t="shared" si="54"/>
        <v>600</v>
      </c>
      <c r="F146" s="496">
        <f t="shared" si="55"/>
        <v>600</v>
      </c>
      <c r="G146" s="499">
        <v>600</v>
      </c>
      <c r="H146" s="518"/>
      <c r="I146" s="499"/>
      <c r="J146" s="499"/>
      <c r="K146" s="499"/>
      <c r="L146" s="499"/>
      <c r="M146" s="499"/>
      <c r="N146" s="519" t="s">
        <v>635</v>
      </c>
    </row>
    <row r="147" spans="1:14" s="366" customFormat="1" ht="12.75">
      <c r="A147" s="489">
        <v>4</v>
      </c>
      <c r="B147" s="497" t="s">
        <v>433</v>
      </c>
      <c r="C147" s="491"/>
      <c r="D147" s="489"/>
      <c r="E147" s="487">
        <f t="shared" si="54"/>
        <v>700</v>
      </c>
      <c r="F147" s="487">
        <f t="shared" si="55"/>
        <v>700</v>
      </c>
      <c r="G147" s="498">
        <f>G148</f>
        <v>0</v>
      </c>
      <c r="H147" s="517">
        <f t="shared" ref="H147:M147" si="58">H148</f>
        <v>700</v>
      </c>
      <c r="I147" s="498">
        <f t="shared" si="58"/>
        <v>0</v>
      </c>
      <c r="J147" s="498">
        <f t="shared" si="58"/>
        <v>0</v>
      </c>
      <c r="K147" s="498">
        <f t="shared" si="58"/>
        <v>0</v>
      </c>
      <c r="L147" s="498">
        <f t="shared" si="58"/>
        <v>0</v>
      </c>
      <c r="M147" s="498">
        <f t="shared" si="58"/>
        <v>0</v>
      </c>
      <c r="N147" s="497"/>
    </row>
    <row r="148" spans="1:14" s="520" customFormat="1" ht="12.75">
      <c r="A148" s="510"/>
      <c r="B148" s="511" t="s">
        <v>628</v>
      </c>
      <c r="C148" s="514" t="s">
        <v>71</v>
      </c>
      <c r="D148" s="510">
        <v>1</v>
      </c>
      <c r="E148" s="508">
        <f t="shared" si="54"/>
        <v>700</v>
      </c>
      <c r="F148" s="508">
        <f t="shared" si="55"/>
        <v>700</v>
      </c>
      <c r="G148" s="515"/>
      <c r="H148" s="515">
        <v>700</v>
      </c>
      <c r="I148" s="515"/>
      <c r="J148" s="515"/>
      <c r="K148" s="515"/>
      <c r="L148" s="515"/>
      <c r="M148" s="515"/>
      <c r="N148" s="511"/>
    </row>
    <row r="149" spans="1:14" s="366" customFormat="1" ht="12.75">
      <c r="A149" s="489">
        <v>5</v>
      </c>
      <c r="B149" s="491" t="s">
        <v>44</v>
      </c>
      <c r="C149" s="491"/>
      <c r="D149" s="489"/>
      <c r="E149" s="487">
        <f t="shared" si="54"/>
        <v>200</v>
      </c>
      <c r="F149" s="487">
        <f t="shared" si="55"/>
        <v>200</v>
      </c>
      <c r="G149" s="491">
        <f>G150</f>
        <v>200</v>
      </c>
      <c r="H149" s="491">
        <f t="shared" ref="H149:M149" si="59">H150</f>
        <v>0</v>
      </c>
      <c r="I149" s="491">
        <f t="shared" si="59"/>
        <v>0</v>
      </c>
      <c r="J149" s="491">
        <f t="shared" si="59"/>
        <v>0</v>
      </c>
      <c r="K149" s="491">
        <f t="shared" si="59"/>
        <v>0</v>
      </c>
      <c r="L149" s="491">
        <f t="shared" si="59"/>
        <v>0</v>
      </c>
      <c r="M149" s="491">
        <f t="shared" si="59"/>
        <v>0</v>
      </c>
      <c r="N149" s="491"/>
    </row>
    <row r="150" spans="1:14" s="520" customFormat="1" ht="12.75">
      <c r="A150" s="510"/>
      <c r="B150" s="511" t="s">
        <v>629</v>
      </c>
      <c r="C150" s="514" t="s">
        <v>71</v>
      </c>
      <c r="D150" s="510">
        <v>1</v>
      </c>
      <c r="E150" s="508">
        <f t="shared" si="54"/>
        <v>200</v>
      </c>
      <c r="F150" s="508">
        <f t="shared" si="55"/>
        <v>200</v>
      </c>
      <c r="G150" s="514">
        <v>200</v>
      </c>
      <c r="H150" s="514"/>
      <c r="I150" s="514"/>
      <c r="J150" s="514"/>
      <c r="K150" s="514"/>
      <c r="L150" s="514"/>
      <c r="M150" s="514"/>
      <c r="N150" s="514"/>
    </row>
    <row r="151" spans="1:14" s="366" customFormat="1" ht="12.75"/>
    <row r="152" spans="1:14" s="366" customFormat="1" ht="12.75"/>
  </sheetData>
  <mergeCells count="14">
    <mergeCell ref="F1:M1"/>
    <mergeCell ref="N142:N144"/>
    <mergeCell ref="N1:N3"/>
    <mergeCell ref="F2:F3"/>
    <mergeCell ref="G2:I2"/>
    <mergeCell ref="J2:J3"/>
    <mergeCell ref="K2:K3"/>
    <mergeCell ref="L2:L3"/>
    <mergeCell ref="M2:M3"/>
    <mergeCell ref="A1:A3"/>
    <mergeCell ref="B1:B3"/>
    <mergeCell ref="C1:C3"/>
    <mergeCell ref="D1:D3"/>
    <mergeCell ref="E1:E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tabColor rgb="FFFFFF00"/>
  </sheetPr>
  <dimension ref="A1:M30"/>
  <sheetViews>
    <sheetView workbookViewId="0">
      <pane xSplit="2" ySplit="5" topLeftCell="C23" activePane="bottomRight" state="frozen"/>
      <selection activeCell="E25" sqref="E25"/>
      <selection pane="topRight" activeCell="E25" sqref="E25"/>
      <selection pane="bottomLeft" activeCell="E25" sqref="E25"/>
      <selection pane="bottomRight" activeCell="E25" sqref="E25"/>
    </sheetView>
  </sheetViews>
  <sheetFormatPr defaultColWidth="8.625" defaultRowHeight="12.75"/>
  <cols>
    <col min="1" max="1" width="8.625" style="366"/>
    <col min="2" max="2" width="18.625" style="366" customWidth="1"/>
    <col min="3" max="16384" width="8.625" style="366"/>
  </cols>
  <sheetData>
    <row r="1" spans="1:13" s="539" customFormat="1">
      <c r="A1" s="1600" t="s">
        <v>636</v>
      </c>
      <c r="B1" s="1600"/>
      <c r="C1" s="1600"/>
      <c r="D1" s="1600"/>
      <c r="E1" s="1600"/>
      <c r="F1" s="1600"/>
      <c r="G1" s="1600"/>
      <c r="H1" s="1600"/>
      <c r="I1" s="1600"/>
      <c r="J1" s="1600"/>
      <c r="K1" s="1600"/>
    </row>
    <row r="2" spans="1:13">
      <c r="A2" s="1601" t="str">
        <f>'[75]Đề xuất 2023'!A2:N2</f>
        <v>(Kèm theo Báo cáo số    /BC-UBND ngày     /3/2023 của Ủy ban nhân dân huyện Hàm Yên)</v>
      </c>
      <c r="B2" s="1601"/>
      <c r="C2" s="1601"/>
      <c r="D2" s="1601"/>
      <c r="E2" s="1601"/>
      <c r="F2" s="1601"/>
      <c r="G2" s="1601"/>
      <c r="H2" s="1601"/>
      <c r="I2" s="1601"/>
      <c r="J2" s="1601"/>
      <c r="K2" s="1601"/>
    </row>
    <row r="3" spans="1:13">
      <c r="A3" s="1599" t="s">
        <v>26</v>
      </c>
      <c r="B3" s="1599" t="s">
        <v>554</v>
      </c>
      <c r="C3" s="1599" t="s">
        <v>555</v>
      </c>
      <c r="D3" s="1599" t="s">
        <v>147</v>
      </c>
      <c r="E3" s="1599" t="s">
        <v>556</v>
      </c>
      <c r="F3" s="1599" t="s">
        <v>2</v>
      </c>
      <c r="G3" s="1599"/>
      <c r="H3" s="1599"/>
      <c r="I3" s="1599"/>
      <c r="J3" s="1599"/>
      <c r="K3" s="1602" t="s">
        <v>131</v>
      </c>
    </row>
    <row r="4" spans="1:13">
      <c r="A4" s="1599"/>
      <c r="B4" s="1599"/>
      <c r="C4" s="1599"/>
      <c r="D4" s="1599"/>
      <c r="E4" s="1599"/>
      <c r="F4" s="1599" t="s">
        <v>637</v>
      </c>
      <c r="G4" s="1599" t="s">
        <v>148</v>
      </c>
      <c r="H4" s="1599" t="s">
        <v>557</v>
      </c>
      <c r="I4" s="1599" t="s">
        <v>558</v>
      </c>
      <c r="J4" s="1599" t="s">
        <v>559</v>
      </c>
      <c r="K4" s="1603"/>
    </row>
    <row r="5" spans="1:13">
      <c r="A5" s="1599"/>
      <c r="B5" s="1599"/>
      <c r="C5" s="1599"/>
      <c r="D5" s="1599"/>
      <c r="E5" s="1599"/>
      <c r="F5" s="1599"/>
      <c r="G5" s="1599"/>
      <c r="H5" s="1599"/>
      <c r="I5" s="1599"/>
      <c r="J5" s="1599"/>
      <c r="K5" s="1604"/>
    </row>
    <row r="6" spans="1:13">
      <c r="A6" s="540"/>
      <c r="B6" s="540" t="s">
        <v>638</v>
      </c>
      <c r="C6" s="540"/>
      <c r="D6" s="540"/>
      <c r="E6" s="541">
        <f t="shared" ref="E6:J6" si="0">E7+E13+E18+E20</f>
        <v>319130</v>
      </c>
      <c r="F6" s="541">
        <f t="shared" si="0"/>
        <v>317130</v>
      </c>
      <c r="G6" s="541">
        <f t="shared" si="0"/>
        <v>0</v>
      </c>
      <c r="H6" s="541">
        <f t="shared" si="0"/>
        <v>0</v>
      </c>
      <c r="I6" s="541">
        <f t="shared" si="0"/>
        <v>0</v>
      </c>
      <c r="J6" s="541">
        <f t="shared" si="0"/>
        <v>2000</v>
      </c>
      <c r="K6" s="542"/>
    </row>
    <row r="7" spans="1:13">
      <c r="A7" s="543" t="s">
        <v>66</v>
      </c>
      <c r="B7" s="544" t="s">
        <v>29</v>
      </c>
      <c r="C7" s="543"/>
      <c r="D7" s="543"/>
      <c r="E7" s="545">
        <f>SUM(F7,G7:J7)</f>
        <v>225380</v>
      </c>
      <c r="F7" s="545">
        <f>SUM(F8:F12)</f>
        <v>225380</v>
      </c>
      <c r="G7" s="545">
        <f>SUM(G8:G9)</f>
        <v>0</v>
      </c>
      <c r="H7" s="545">
        <f>SUM(H8:H9)</f>
        <v>0</v>
      </c>
      <c r="I7" s="545">
        <f>SUM(I8:I9)</f>
        <v>0</v>
      </c>
      <c r="J7" s="545">
        <f>SUM(J8:J9)</f>
        <v>0</v>
      </c>
      <c r="K7" s="545"/>
    </row>
    <row r="8" spans="1:13" ht="44.45" customHeight="1">
      <c r="A8" s="546">
        <v>1</v>
      </c>
      <c r="B8" s="547" t="s">
        <v>639</v>
      </c>
      <c r="C8" s="546" t="s">
        <v>69</v>
      </c>
      <c r="D8" s="546">
        <v>9</v>
      </c>
      <c r="E8" s="548">
        <f>SUM(F8,J8:K8)</f>
        <v>38000</v>
      </c>
      <c r="F8" s="548">
        <v>38000</v>
      </c>
      <c r="G8" s="548"/>
      <c r="H8" s="549"/>
      <c r="I8" s="549"/>
      <c r="J8" s="549"/>
      <c r="K8" s="549"/>
    </row>
    <row r="9" spans="1:13" ht="54" customHeight="1">
      <c r="A9" s="546">
        <v>2</v>
      </c>
      <c r="B9" s="547" t="s">
        <v>640</v>
      </c>
      <c r="C9" s="546" t="s">
        <v>71</v>
      </c>
      <c r="D9" s="546">
        <v>1</v>
      </c>
      <c r="E9" s="548">
        <f>SUM(F9,J9:K9)</f>
        <v>5000</v>
      </c>
      <c r="F9" s="548">
        <v>5000</v>
      </c>
      <c r="G9" s="548"/>
      <c r="H9" s="548"/>
      <c r="I9" s="548"/>
      <c r="J9" s="548"/>
      <c r="K9" s="548"/>
    </row>
    <row r="10" spans="1:13" ht="68.45" customHeight="1">
      <c r="A10" s="546">
        <v>3</v>
      </c>
      <c r="B10" s="547" t="s">
        <v>641</v>
      </c>
      <c r="C10" s="546" t="s">
        <v>69</v>
      </c>
      <c r="D10" s="546">
        <v>14</v>
      </c>
      <c r="E10" s="548">
        <v>76000</v>
      </c>
      <c r="F10" s="548">
        <v>76000</v>
      </c>
      <c r="G10" s="548"/>
      <c r="H10" s="548"/>
      <c r="I10" s="548"/>
      <c r="J10" s="548"/>
      <c r="K10" s="550" t="s">
        <v>642</v>
      </c>
      <c r="M10" s="366">
        <v>66000</v>
      </c>
    </row>
    <row r="11" spans="1:13" ht="117.95" customHeight="1">
      <c r="A11" s="546">
        <v>4</v>
      </c>
      <c r="B11" s="547" t="s">
        <v>643</v>
      </c>
      <c r="C11" s="546" t="s">
        <v>69</v>
      </c>
      <c r="D11" s="546">
        <v>18.2</v>
      </c>
      <c r="E11" s="548">
        <v>96000</v>
      </c>
      <c r="F11" s="548">
        <v>96000</v>
      </c>
      <c r="G11" s="548"/>
      <c r="H11" s="548"/>
      <c r="I11" s="548"/>
      <c r="J11" s="548"/>
      <c r="K11" s="550" t="s">
        <v>642</v>
      </c>
      <c r="M11" s="366">
        <v>96000</v>
      </c>
    </row>
    <row r="12" spans="1:13" ht="117.95" customHeight="1">
      <c r="A12" s="546">
        <v>5</v>
      </c>
      <c r="B12" s="547" t="s">
        <v>644</v>
      </c>
      <c r="C12" s="546" t="s">
        <v>69</v>
      </c>
      <c r="D12" s="546">
        <f>4-0.54</f>
        <v>3.46</v>
      </c>
      <c r="E12" s="548">
        <f>F12</f>
        <v>10380</v>
      </c>
      <c r="F12" s="548">
        <f>3000*D12</f>
        <v>10380</v>
      </c>
      <c r="G12" s="548"/>
      <c r="H12" s="548"/>
      <c r="I12" s="548"/>
      <c r="J12" s="548"/>
      <c r="K12" s="551" t="s">
        <v>645</v>
      </c>
      <c r="M12" s="1290">
        <f>F12-2700</f>
        <v>7680</v>
      </c>
    </row>
    <row r="13" spans="1:13" ht="30.6" customHeight="1">
      <c r="A13" s="543" t="s">
        <v>67</v>
      </c>
      <c r="B13" s="544" t="s">
        <v>646</v>
      </c>
      <c r="C13" s="543"/>
      <c r="D13" s="543"/>
      <c r="E13" s="545">
        <f>SUM(F13,G13:J13)</f>
        <v>46000</v>
      </c>
      <c r="F13" s="545">
        <f>SUM(F14:F17)</f>
        <v>46000</v>
      </c>
      <c r="G13" s="545">
        <f>SUM(G14:G17)</f>
        <v>0</v>
      </c>
      <c r="H13" s="545">
        <f>SUM(H14:H17)</f>
        <v>0</v>
      </c>
      <c r="I13" s="545">
        <f>SUM(I14:I17)</f>
        <v>0</v>
      </c>
      <c r="J13" s="545">
        <f>SUM(J14:J17)</f>
        <v>0</v>
      </c>
      <c r="K13" s="545"/>
    </row>
    <row r="14" spans="1:13" ht="98.45" customHeight="1">
      <c r="A14" s="552">
        <v>1</v>
      </c>
      <c r="B14" s="553" t="s">
        <v>647</v>
      </c>
      <c r="C14" s="552" t="s">
        <v>71</v>
      </c>
      <c r="D14" s="552">
        <v>1</v>
      </c>
      <c r="E14" s="554">
        <f>SUM(F14,G14:J14)</f>
        <v>15000</v>
      </c>
      <c r="F14" s="554">
        <v>15000</v>
      </c>
      <c r="G14" s="554"/>
      <c r="H14" s="554"/>
      <c r="I14" s="554"/>
      <c r="J14" s="554"/>
      <c r="K14" s="550" t="s">
        <v>648</v>
      </c>
    </row>
    <row r="15" spans="1:13" ht="104.45" customHeight="1">
      <c r="A15" s="555">
        <v>2</v>
      </c>
      <c r="B15" s="556" t="s">
        <v>649</v>
      </c>
      <c r="C15" s="555" t="s">
        <v>71</v>
      </c>
      <c r="D15" s="555">
        <v>1</v>
      </c>
      <c r="E15" s="557">
        <f>SUM(F15,G15:J15)</f>
        <v>5000</v>
      </c>
      <c r="F15" s="557">
        <v>5000</v>
      </c>
      <c r="G15" s="557"/>
      <c r="H15" s="557"/>
      <c r="I15" s="557"/>
      <c r="J15" s="557"/>
      <c r="K15" s="550" t="s">
        <v>648</v>
      </c>
    </row>
    <row r="16" spans="1:13" ht="117.95" customHeight="1">
      <c r="A16" s="555">
        <v>3</v>
      </c>
      <c r="B16" s="556" t="s">
        <v>650</v>
      </c>
      <c r="C16" s="555" t="s">
        <v>71</v>
      </c>
      <c r="D16" s="555">
        <v>1</v>
      </c>
      <c r="E16" s="557">
        <f>SUM(F16,G16:J16)</f>
        <v>1000</v>
      </c>
      <c r="F16" s="557">
        <v>1000</v>
      </c>
      <c r="G16" s="557"/>
      <c r="H16" s="557"/>
      <c r="I16" s="557"/>
      <c r="J16" s="557"/>
      <c r="K16" s="550" t="s">
        <v>651</v>
      </c>
    </row>
    <row r="17" spans="1:11" ht="89.1" customHeight="1">
      <c r="A17" s="555">
        <v>4</v>
      </c>
      <c r="B17" s="547" t="s">
        <v>652</v>
      </c>
      <c r="C17" s="555" t="s">
        <v>71</v>
      </c>
      <c r="D17" s="555">
        <v>1</v>
      </c>
      <c r="E17" s="557">
        <f>SUM(F17,G17:J17)</f>
        <v>25000</v>
      </c>
      <c r="F17" s="557">
        <v>25000</v>
      </c>
      <c r="G17" s="557"/>
      <c r="H17" s="557"/>
      <c r="I17" s="557"/>
      <c r="J17" s="557"/>
      <c r="K17" s="550" t="s">
        <v>653</v>
      </c>
    </row>
    <row r="18" spans="1:11" ht="33.6" customHeight="1">
      <c r="A18" s="543" t="s">
        <v>80</v>
      </c>
      <c r="B18" s="544" t="s">
        <v>654</v>
      </c>
      <c r="C18" s="543"/>
      <c r="D18" s="543"/>
      <c r="E18" s="545">
        <f t="shared" ref="E18:J18" si="1">+E19</f>
        <v>1500</v>
      </c>
      <c r="F18" s="545">
        <f t="shared" si="1"/>
        <v>1500</v>
      </c>
      <c r="G18" s="545">
        <f t="shared" si="1"/>
        <v>0</v>
      </c>
      <c r="H18" s="545">
        <f t="shared" si="1"/>
        <v>0</v>
      </c>
      <c r="I18" s="545">
        <f t="shared" si="1"/>
        <v>0</v>
      </c>
      <c r="J18" s="545">
        <f t="shared" si="1"/>
        <v>0</v>
      </c>
      <c r="K18" s="545"/>
    </row>
    <row r="19" spans="1:11" ht="117.95" customHeight="1">
      <c r="A19" s="552">
        <v>1</v>
      </c>
      <c r="B19" s="556" t="s">
        <v>655</v>
      </c>
      <c r="C19" s="552" t="s">
        <v>71</v>
      </c>
      <c r="D19" s="552">
        <v>1</v>
      </c>
      <c r="E19" s="554">
        <f t="shared" ref="E19:E26" si="2">SUM(F19,G19:J19)</f>
        <v>1500</v>
      </c>
      <c r="F19" s="558">
        <v>1500</v>
      </c>
      <c r="G19" s="554"/>
      <c r="H19" s="554"/>
      <c r="I19" s="554"/>
      <c r="J19" s="554"/>
      <c r="K19" s="550" t="s">
        <v>656</v>
      </c>
    </row>
    <row r="20" spans="1:11" ht="29.1" customHeight="1">
      <c r="A20" s="543" t="s">
        <v>82</v>
      </c>
      <c r="B20" s="544" t="s">
        <v>657</v>
      </c>
      <c r="C20" s="543"/>
      <c r="D20" s="543"/>
      <c r="E20" s="545">
        <f t="shared" si="2"/>
        <v>46250</v>
      </c>
      <c r="F20" s="545">
        <f>SUM(F23:F30)</f>
        <v>44250</v>
      </c>
      <c r="G20" s="545">
        <f>SUM(G21:G41)</f>
        <v>0</v>
      </c>
      <c r="H20" s="545">
        <f>SUM(H21:H41)</f>
        <v>0</v>
      </c>
      <c r="I20" s="545">
        <f>SUM(I21:I41)</f>
        <v>0</v>
      </c>
      <c r="J20" s="545">
        <f>SUM(J21:J41)</f>
        <v>2000</v>
      </c>
      <c r="K20" s="545"/>
    </row>
    <row r="21" spans="1:11" ht="91.5" hidden="1" customHeight="1">
      <c r="A21" s="555"/>
      <c r="B21" s="547" t="s">
        <v>658</v>
      </c>
      <c r="C21" s="319" t="s">
        <v>71</v>
      </c>
      <c r="D21" s="555">
        <v>1</v>
      </c>
      <c r="E21" s="557" t="e">
        <f t="shared" si="2"/>
        <v>#REF!</v>
      </c>
      <c r="F21" s="557" t="e">
        <f>SUM(#REF!)</f>
        <v>#REF!</v>
      </c>
      <c r="G21" s="557"/>
      <c r="H21" s="557"/>
      <c r="I21" s="557"/>
      <c r="J21" s="557"/>
      <c r="K21" s="557"/>
    </row>
    <row r="22" spans="1:11" ht="117.95" hidden="1" customHeight="1">
      <c r="A22" s="555"/>
      <c r="B22" s="547" t="s">
        <v>659</v>
      </c>
      <c r="C22" s="319" t="s">
        <v>71</v>
      </c>
      <c r="D22" s="555">
        <v>1</v>
      </c>
      <c r="E22" s="557" t="e">
        <f t="shared" si="2"/>
        <v>#REF!</v>
      </c>
      <c r="F22" s="557" t="e">
        <f>SUM(#REF!)</f>
        <v>#REF!</v>
      </c>
      <c r="G22" s="557"/>
      <c r="H22" s="557"/>
      <c r="I22" s="557"/>
      <c r="J22" s="557"/>
      <c r="K22" s="557"/>
    </row>
    <row r="23" spans="1:11" ht="78.599999999999994" customHeight="1">
      <c r="A23" s="555">
        <v>1</v>
      </c>
      <c r="B23" s="547" t="s">
        <v>660</v>
      </c>
      <c r="C23" s="319" t="s">
        <v>71</v>
      </c>
      <c r="D23" s="555">
        <v>1</v>
      </c>
      <c r="E23" s="557">
        <f t="shared" si="2"/>
        <v>12000</v>
      </c>
      <c r="F23" s="557">
        <v>10000</v>
      </c>
      <c r="G23" s="557"/>
      <c r="H23" s="557"/>
      <c r="I23" s="557"/>
      <c r="J23" s="557">
        <v>2000</v>
      </c>
      <c r="K23" s="557"/>
    </row>
    <row r="24" spans="1:11" ht="92.1" customHeight="1">
      <c r="A24" s="555">
        <v>2</v>
      </c>
      <c r="B24" s="547" t="s">
        <v>661</v>
      </c>
      <c r="C24" s="319" t="s">
        <v>443</v>
      </c>
      <c r="D24" s="555">
        <v>1</v>
      </c>
      <c r="E24" s="557">
        <f t="shared" si="2"/>
        <v>1500</v>
      </c>
      <c r="F24" s="557">
        <v>1500</v>
      </c>
      <c r="G24" s="557"/>
      <c r="H24" s="557"/>
      <c r="I24" s="557"/>
      <c r="J24" s="557"/>
      <c r="K24" s="550" t="s">
        <v>662</v>
      </c>
    </row>
    <row r="25" spans="1:11" ht="117.95" customHeight="1">
      <c r="A25" s="555">
        <v>3</v>
      </c>
      <c r="B25" s="318" t="s">
        <v>663</v>
      </c>
      <c r="C25" s="319" t="s">
        <v>71</v>
      </c>
      <c r="D25" s="319">
        <v>1</v>
      </c>
      <c r="E25" s="557">
        <f t="shared" si="2"/>
        <v>15000</v>
      </c>
      <c r="F25" s="557">
        <v>15000</v>
      </c>
      <c r="G25" s="557"/>
      <c r="H25" s="557"/>
      <c r="I25" s="557"/>
      <c r="J25" s="557"/>
      <c r="K25" s="550" t="s">
        <v>664</v>
      </c>
    </row>
    <row r="26" spans="1:11" ht="96" customHeight="1">
      <c r="A26" s="555">
        <v>4</v>
      </c>
      <c r="B26" s="559" t="s">
        <v>665</v>
      </c>
      <c r="C26" s="560" t="s">
        <v>71</v>
      </c>
      <c r="D26" s="560">
        <v>1</v>
      </c>
      <c r="E26" s="557">
        <f t="shared" si="2"/>
        <v>17200</v>
      </c>
      <c r="F26" s="557">
        <v>17200</v>
      </c>
      <c r="G26" s="557"/>
      <c r="H26" s="557"/>
      <c r="I26" s="557"/>
      <c r="J26" s="557"/>
      <c r="K26" s="557"/>
    </row>
    <row r="27" spans="1:11" ht="117.95" hidden="1" customHeight="1">
      <c r="A27" s="555"/>
      <c r="B27" s="559" t="s">
        <v>666</v>
      </c>
      <c r="C27" s="560"/>
      <c r="D27" s="560"/>
      <c r="E27" s="557"/>
      <c r="F27" s="557"/>
      <c r="G27" s="557"/>
      <c r="H27" s="557"/>
      <c r="I27" s="557"/>
      <c r="J27" s="557"/>
      <c r="K27" s="557"/>
    </row>
    <row r="28" spans="1:11" ht="66.599999999999994" customHeight="1">
      <c r="A28" s="555">
        <v>5</v>
      </c>
      <c r="B28" s="559" t="s">
        <v>667</v>
      </c>
      <c r="C28" s="560" t="s">
        <v>71</v>
      </c>
      <c r="D28" s="560">
        <v>1</v>
      </c>
      <c r="E28" s="557">
        <f>SUM(F28,G28:J28)</f>
        <v>200</v>
      </c>
      <c r="F28" s="557">
        <v>200</v>
      </c>
      <c r="G28" s="557"/>
      <c r="H28" s="557"/>
      <c r="I28" s="557"/>
      <c r="J28" s="557"/>
      <c r="K28" s="557"/>
    </row>
    <row r="29" spans="1:11" ht="60.95" customHeight="1">
      <c r="A29" s="555">
        <v>6</v>
      </c>
      <c r="B29" s="559" t="s">
        <v>668</v>
      </c>
      <c r="C29" s="560" t="s">
        <v>71</v>
      </c>
      <c r="D29" s="560">
        <v>1</v>
      </c>
      <c r="E29" s="557">
        <f>SUM(F29,G29:J29)</f>
        <v>150</v>
      </c>
      <c r="F29" s="557">
        <v>150</v>
      </c>
      <c r="G29" s="557"/>
      <c r="H29" s="557"/>
      <c r="I29" s="557"/>
      <c r="J29" s="557"/>
      <c r="K29" s="557"/>
    </row>
    <row r="30" spans="1:11" ht="84.95" customHeight="1">
      <c r="A30" s="555">
        <v>7</v>
      </c>
      <c r="B30" s="559" t="s">
        <v>669</v>
      </c>
      <c r="C30" s="560" t="s">
        <v>71</v>
      </c>
      <c r="D30" s="560">
        <v>1</v>
      </c>
      <c r="E30" s="557">
        <f>SUM(F30,G30:J30)</f>
        <v>200</v>
      </c>
      <c r="F30" s="557">
        <v>200</v>
      </c>
      <c r="G30" s="557"/>
      <c r="H30" s="557"/>
      <c r="I30" s="557"/>
      <c r="J30" s="557"/>
      <c r="K30" s="557"/>
    </row>
  </sheetData>
  <mergeCells count="14">
    <mergeCell ref="G4:G5"/>
    <mergeCell ref="H4:H5"/>
    <mergeCell ref="I4:I5"/>
    <mergeCell ref="J4:J5"/>
    <mergeCell ref="A1:K1"/>
    <mergeCell ref="A2:K2"/>
    <mergeCell ref="A3:A5"/>
    <mergeCell ref="B3:B5"/>
    <mergeCell ref="C3:C5"/>
    <mergeCell ref="D3:D5"/>
    <mergeCell ref="E3:E5"/>
    <mergeCell ref="F3:J3"/>
    <mergeCell ref="K3:K5"/>
    <mergeCell ref="F4:F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4"/>
  <dimension ref="A1:V278"/>
  <sheetViews>
    <sheetView tabSelected="1" zoomScaleNormal="100" workbookViewId="0">
      <pane xSplit="3" ySplit="7" topLeftCell="D264" activePane="bottomRight" state="frozen"/>
      <selection pane="topRight" activeCell="D1" sqref="D1"/>
      <selection pane="bottomLeft" activeCell="A8" sqref="A8"/>
      <selection pane="bottomRight" activeCell="I4" sqref="I4"/>
    </sheetView>
  </sheetViews>
  <sheetFormatPr defaultColWidth="9" defaultRowHeight="15"/>
  <cols>
    <col min="1" max="1" width="3.5" style="10" customWidth="1"/>
    <col min="2" max="2" width="23.375" style="9" customWidth="1"/>
    <col min="3" max="3" width="6.25" style="10" customWidth="1"/>
    <col min="4" max="4" width="6.5" style="10" customWidth="1"/>
    <col min="5" max="5" width="8.5" style="11" customWidth="1"/>
    <col min="6" max="6" width="6.125" style="12" customWidth="1"/>
    <col min="7" max="7" width="7.25" style="12" customWidth="1"/>
    <col min="8" max="8" width="5.375" style="12" customWidth="1"/>
    <col min="9" max="9" width="7.75" style="12" customWidth="1"/>
    <col min="10" max="10" width="5.375" style="12" customWidth="1"/>
    <col min="11" max="11" width="8.25" style="12" customWidth="1"/>
    <col min="12" max="12" width="5.5" style="12" customWidth="1"/>
    <col min="13" max="13" width="10" style="12" customWidth="1"/>
    <col min="14" max="14" width="5.375" style="12" customWidth="1"/>
    <col min="15" max="15" width="8.375" style="12" customWidth="1"/>
    <col min="16" max="16" width="5.375" style="12" customWidth="1"/>
    <col min="17" max="17" width="9.5" style="12" customWidth="1"/>
    <col min="18" max="18" width="5.375" style="12" customWidth="1"/>
    <col min="19" max="19" width="7.375" style="12" customWidth="1"/>
    <col min="20" max="20" width="8.25" style="9" customWidth="1"/>
    <col min="21" max="16384" width="9" style="9"/>
  </cols>
  <sheetData>
    <row r="1" spans="1:20" s="570" customFormat="1" ht="15.75">
      <c r="A1" s="1394" t="s">
        <v>1168</v>
      </c>
      <c r="B1" s="1394"/>
      <c r="C1" s="1301"/>
      <c r="D1" s="1301"/>
      <c r="E1" s="1302"/>
      <c r="F1" s="1303"/>
      <c r="G1" s="1303"/>
      <c r="H1" s="1303"/>
      <c r="I1" s="1303"/>
      <c r="J1" s="1303"/>
      <c r="K1" s="1303"/>
      <c r="L1" s="1303"/>
      <c r="M1" s="1303"/>
      <c r="N1" s="1303"/>
      <c r="O1" s="1303"/>
      <c r="P1" s="1303"/>
      <c r="Q1" s="1303"/>
      <c r="R1" s="1303"/>
      <c r="S1" s="1303"/>
    </row>
    <row r="2" spans="1:20" s="570" customFormat="1" ht="34.5" customHeight="1">
      <c r="A2" s="1395" t="s">
        <v>1146</v>
      </c>
      <c r="B2" s="1395"/>
      <c r="C2" s="1395"/>
      <c r="D2" s="1395"/>
      <c r="E2" s="1395"/>
      <c r="F2" s="1395"/>
      <c r="G2" s="1395"/>
      <c r="H2" s="1395"/>
      <c r="I2" s="1395"/>
      <c r="J2" s="1395"/>
      <c r="K2" s="1395"/>
      <c r="L2" s="1395"/>
      <c r="M2" s="1395"/>
      <c r="N2" s="1395"/>
      <c r="O2" s="1395"/>
      <c r="P2" s="1395"/>
      <c r="Q2" s="1395"/>
      <c r="R2" s="1395"/>
      <c r="S2" s="1395"/>
      <c r="T2" s="1395"/>
    </row>
    <row r="3" spans="1:20" s="570" customFormat="1" ht="18" customHeight="1">
      <c r="A3" s="1396" t="s">
        <v>1246</v>
      </c>
      <c r="B3" s="1396"/>
      <c r="C3" s="1396"/>
      <c r="D3" s="1396"/>
      <c r="E3" s="1396"/>
      <c r="F3" s="1396"/>
      <c r="G3" s="1396"/>
      <c r="H3" s="1396"/>
      <c r="I3" s="1396"/>
      <c r="J3" s="1396"/>
      <c r="K3" s="1396"/>
      <c r="L3" s="1396"/>
      <c r="M3" s="1396"/>
      <c r="N3" s="1396"/>
      <c r="O3" s="1396"/>
      <c r="P3" s="1396"/>
      <c r="Q3" s="1396"/>
      <c r="R3" s="1396"/>
      <c r="S3" s="1396"/>
      <c r="T3" s="1396"/>
    </row>
    <row r="4" spans="1:20" s="570" customFormat="1" ht="21.75" customHeight="1">
      <c r="A4" s="1304"/>
      <c r="B4" s="1304"/>
      <c r="C4" s="1304"/>
      <c r="D4" s="1304"/>
      <c r="E4" s="1304"/>
      <c r="F4" s="1304"/>
      <c r="G4" s="1305"/>
      <c r="H4" s="1304"/>
      <c r="I4" s="1304"/>
      <c r="J4" s="1304"/>
      <c r="K4" s="1304"/>
      <c r="L4" s="1304"/>
      <c r="M4" s="1304"/>
      <c r="N4" s="1304"/>
      <c r="O4" s="1304"/>
      <c r="P4" s="1304"/>
      <c r="Q4" s="1397" t="s">
        <v>90</v>
      </c>
      <c r="R4" s="1397"/>
      <c r="S4" s="1397"/>
      <c r="T4" s="1397"/>
    </row>
    <row r="5" spans="1:20" s="1306" customFormat="1" ht="24" customHeight="1">
      <c r="A5" s="1393" t="s">
        <v>61</v>
      </c>
      <c r="B5" s="1393" t="s">
        <v>554</v>
      </c>
      <c r="C5" s="1393" t="s">
        <v>63</v>
      </c>
      <c r="D5" s="1398" t="s">
        <v>147</v>
      </c>
      <c r="E5" s="1393" t="s">
        <v>119</v>
      </c>
      <c r="F5" s="1393" t="s">
        <v>19</v>
      </c>
      <c r="G5" s="1393"/>
      <c r="H5" s="1393"/>
      <c r="I5" s="1393"/>
      <c r="J5" s="1393"/>
      <c r="K5" s="1393"/>
      <c r="L5" s="1393"/>
      <c r="M5" s="1393"/>
      <c r="N5" s="1393"/>
      <c r="O5" s="1393"/>
      <c r="P5" s="1393"/>
      <c r="Q5" s="1393"/>
      <c r="R5" s="1393"/>
      <c r="S5" s="1393"/>
      <c r="T5" s="1399" t="s">
        <v>131</v>
      </c>
    </row>
    <row r="6" spans="1:20" s="1306" customFormat="1" ht="24.75" customHeight="1">
      <c r="A6" s="1393"/>
      <c r="B6" s="1393"/>
      <c r="C6" s="1393"/>
      <c r="D6" s="1398"/>
      <c r="E6" s="1393"/>
      <c r="F6" s="1393" t="s">
        <v>102</v>
      </c>
      <c r="G6" s="1393"/>
      <c r="H6" s="1393" t="s">
        <v>145</v>
      </c>
      <c r="I6" s="1393"/>
      <c r="J6" s="1393" t="s">
        <v>98</v>
      </c>
      <c r="K6" s="1393"/>
      <c r="L6" s="1393" t="s">
        <v>99</v>
      </c>
      <c r="M6" s="1393"/>
      <c r="N6" s="1393" t="s">
        <v>100</v>
      </c>
      <c r="O6" s="1393"/>
      <c r="P6" s="1393" t="s">
        <v>101</v>
      </c>
      <c r="Q6" s="1393"/>
      <c r="R6" s="1393" t="s">
        <v>144</v>
      </c>
      <c r="S6" s="1393"/>
      <c r="T6" s="1399"/>
    </row>
    <row r="7" spans="1:20" s="1306" customFormat="1" ht="34.5" customHeight="1">
      <c r="A7" s="1393"/>
      <c r="B7" s="1393"/>
      <c r="C7" s="1393"/>
      <c r="D7" s="1398"/>
      <c r="E7" s="1393"/>
      <c r="F7" s="484" t="s">
        <v>147</v>
      </c>
      <c r="G7" s="484" t="s">
        <v>120</v>
      </c>
      <c r="H7" s="484" t="s">
        <v>147</v>
      </c>
      <c r="I7" s="484" t="s">
        <v>120</v>
      </c>
      <c r="J7" s="484" t="s">
        <v>147</v>
      </c>
      <c r="K7" s="484" t="s">
        <v>120</v>
      </c>
      <c r="L7" s="484" t="s">
        <v>147</v>
      </c>
      <c r="M7" s="484" t="s">
        <v>120</v>
      </c>
      <c r="N7" s="484" t="s">
        <v>147</v>
      </c>
      <c r="O7" s="484" t="s">
        <v>120</v>
      </c>
      <c r="P7" s="484" t="s">
        <v>147</v>
      </c>
      <c r="Q7" s="484" t="s">
        <v>120</v>
      </c>
      <c r="R7" s="484" t="s">
        <v>147</v>
      </c>
      <c r="S7" s="484" t="s">
        <v>120</v>
      </c>
      <c r="T7" s="1399"/>
    </row>
    <row r="8" spans="1:20" s="1306" customFormat="1" ht="24.75" hidden="1" customHeight="1">
      <c r="A8" s="485"/>
      <c r="B8" s="485"/>
      <c r="C8" s="485"/>
      <c r="D8" s="1330"/>
      <c r="E8" s="1331">
        <f>+E9-E10</f>
        <v>0.19999999972060323</v>
      </c>
      <c r="F8" s="1331">
        <f t="shared" ref="F8:S8" si="0">+F9-F10</f>
        <v>0</v>
      </c>
      <c r="G8" s="1331">
        <f t="shared" si="0"/>
        <v>0.29999999998835847</v>
      </c>
      <c r="H8" s="1331">
        <f t="shared" si="0"/>
        <v>0</v>
      </c>
      <c r="I8" s="1331">
        <f t="shared" si="0"/>
        <v>0</v>
      </c>
      <c r="J8" s="1331">
        <f t="shared" si="0"/>
        <v>0</v>
      </c>
      <c r="K8" s="1331">
        <f t="shared" si="0"/>
        <v>0</v>
      </c>
      <c r="L8" s="1331">
        <f t="shared" si="0"/>
        <v>0</v>
      </c>
      <c r="M8" s="1331">
        <f t="shared" si="0"/>
        <v>0</v>
      </c>
      <c r="N8" s="1331">
        <f t="shared" si="0"/>
        <v>0</v>
      </c>
      <c r="O8" s="1331">
        <f t="shared" si="0"/>
        <v>0</v>
      </c>
      <c r="P8" s="1331">
        <f t="shared" si="0"/>
        <v>0</v>
      </c>
      <c r="Q8" s="1331">
        <f t="shared" si="0"/>
        <v>-9.9999999860301614E-2</v>
      </c>
      <c r="R8" s="1331">
        <f t="shared" si="0"/>
        <v>0</v>
      </c>
      <c r="S8" s="1331">
        <f t="shared" si="0"/>
        <v>0</v>
      </c>
      <c r="T8" s="1332"/>
    </row>
    <row r="9" spans="1:20" s="1307" customFormat="1" ht="19.5" customHeight="1">
      <c r="A9" s="1333"/>
      <c r="B9" s="485" t="s">
        <v>106</v>
      </c>
      <c r="C9" s="485" t="s">
        <v>65</v>
      </c>
      <c r="D9" s="1311">
        <f>+F9+H9+J9+L9+N9+P9+R9</f>
        <v>0</v>
      </c>
      <c r="E9" s="1311">
        <f>+G9+I9+K9+M9+O9+Q9+S9</f>
        <v>3534871.7382450146</v>
      </c>
      <c r="F9" s="1312"/>
      <c r="G9" s="1312">
        <f>G29+G192+G202+G261</f>
        <v>268917.63837333943</v>
      </c>
      <c r="H9" s="1312"/>
      <c r="I9" s="1312">
        <f>I29+I192+I202+I261</f>
        <v>298043.01168664254</v>
      </c>
      <c r="J9" s="1312"/>
      <c r="K9" s="1312">
        <f>K29+K192+K202+K261</f>
        <v>507628.89705029025</v>
      </c>
      <c r="L9" s="1312"/>
      <c r="M9" s="1312">
        <f>M29+M192+M202+M261</f>
        <v>723408.85399740981</v>
      </c>
      <c r="N9" s="1312"/>
      <c r="O9" s="1312">
        <f>O29+O192+O202+O261</f>
        <v>564282.48935138574</v>
      </c>
      <c r="P9" s="1312"/>
      <c r="Q9" s="1312">
        <f>Q29+Q192+Q202+Q261</f>
        <v>1082744.0425866162</v>
      </c>
      <c r="R9" s="1312"/>
      <c r="S9" s="1312">
        <f>S29+S192+S202+S261</f>
        <v>89846.805199330614</v>
      </c>
      <c r="T9" s="1334"/>
    </row>
    <row r="10" spans="1:20" s="1307" customFormat="1" ht="19.5" hidden="1" customHeight="1">
      <c r="A10" s="1333"/>
      <c r="B10" s="485"/>
      <c r="C10" s="485"/>
      <c r="D10" s="1311"/>
      <c r="E10" s="1311">
        <f>+E11+E12+E13+E14+E15+E16+E17+E18+E19+E20+E21+E22+E23+E24+E25+E26+E27+E28</f>
        <v>3534871.5382450148</v>
      </c>
      <c r="F10" s="1311">
        <f t="shared" ref="F10:S10" si="1">+F11+F12+F13+F14+F15+F16+F17+F18+F19+F20+F21+F22+F23+F24+F25+F26+F27+F28</f>
        <v>0</v>
      </c>
      <c r="G10" s="1311">
        <f t="shared" si="1"/>
        <v>268917.33837333944</v>
      </c>
      <c r="H10" s="1311">
        <f t="shared" si="1"/>
        <v>0</v>
      </c>
      <c r="I10" s="1311">
        <f t="shared" si="1"/>
        <v>298043.01168664254</v>
      </c>
      <c r="J10" s="1311"/>
      <c r="K10" s="1311">
        <f t="shared" si="1"/>
        <v>507628.89705029025</v>
      </c>
      <c r="L10" s="1311"/>
      <c r="M10" s="1311">
        <f t="shared" si="1"/>
        <v>723408.85399740981</v>
      </c>
      <c r="N10" s="1311">
        <f t="shared" si="1"/>
        <v>0</v>
      </c>
      <c r="O10" s="1311">
        <f t="shared" si="1"/>
        <v>564282.48935138574</v>
      </c>
      <c r="P10" s="1311"/>
      <c r="Q10" s="1311">
        <f t="shared" si="1"/>
        <v>1082744.1425866161</v>
      </c>
      <c r="R10" s="1311">
        <f t="shared" si="1"/>
        <v>0</v>
      </c>
      <c r="S10" s="1311">
        <f t="shared" si="1"/>
        <v>89846.805199330614</v>
      </c>
      <c r="T10" s="1334"/>
    </row>
    <row r="11" spans="1:20" s="1308" customFormat="1" ht="19.5" hidden="1" customHeight="1">
      <c r="A11" s="1335"/>
      <c r="B11" s="1336" t="s">
        <v>1160</v>
      </c>
      <c r="C11" s="1336"/>
      <c r="D11" s="1309"/>
      <c r="E11" s="1309">
        <f>SUBTOTAL(9,G11:S11)</f>
        <v>141433</v>
      </c>
      <c r="F11" s="1310"/>
      <c r="G11" s="1310">
        <f>+G185+G196+G201</f>
        <v>21735</v>
      </c>
      <c r="H11" s="1310">
        <f>+H39+H45+H58+H71+H100+H110+H149+H165+H214</f>
        <v>0</v>
      </c>
      <c r="I11" s="1310">
        <f>+I185+I196+I201</f>
        <v>17308</v>
      </c>
      <c r="J11" s="1310"/>
      <c r="K11" s="1310">
        <f>+K185+K196+K201</f>
        <v>36386</v>
      </c>
      <c r="L11" s="1310"/>
      <c r="M11" s="1310">
        <f>+M185+M196+M201</f>
        <v>19615</v>
      </c>
      <c r="N11" s="1310">
        <f>+N39+N45+N58+N71+N100+N110+N149+N165+N214</f>
        <v>0</v>
      </c>
      <c r="O11" s="1310">
        <f>+O185+O196+O201</f>
        <v>21917</v>
      </c>
      <c r="P11" s="1310"/>
      <c r="Q11" s="1310">
        <f>+Q185+Q196+Q201</f>
        <v>20772</v>
      </c>
      <c r="R11" s="1310">
        <f>+R39+R45+R58+R71+R100+R110+R149+R165+R214</f>
        <v>0</v>
      </c>
      <c r="S11" s="1310">
        <f>S196+S201</f>
        <v>3700</v>
      </c>
      <c r="T11" s="1310">
        <f>+T39+T45+T58+T71+T100+T110+T149+T165+T214</f>
        <v>0</v>
      </c>
    </row>
    <row r="12" spans="1:20" s="1308" customFormat="1" ht="19.5" hidden="1" customHeight="1">
      <c r="A12" s="1335"/>
      <c r="B12" s="1336" t="s">
        <v>1036</v>
      </c>
      <c r="C12" s="1336"/>
      <c r="D12" s="1309"/>
      <c r="E12" s="1309">
        <f>SUBTOTAL(9,G12:S12)</f>
        <v>286807</v>
      </c>
      <c r="F12" s="1310"/>
      <c r="G12" s="1310">
        <f>+G32+G40+G46+G59+G62+G72+G91+G101+G111+G134+G144+G150+G166+G191+G215</f>
        <v>42125</v>
      </c>
      <c r="H12" s="1310">
        <f>+H40+H46+H59+H72+H101+H111+H150+H166+H215</f>
        <v>0</v>
      </c>
      <c r="I12" s="1310">
        <f>+I32+I40+I46+I59+I62+I72+I91+I101+I111+I134+I144+I150+I166+I191+I215</f>
        <v>43803</v>
      </c>
      <c r="J12" s="1310">
        <f>+J40+J46+J59+J72+J101+J111+J150+J166+J215</f>
        <v>0</v>
      </c>
      <c r="K12" s="1310">
        <f>+K32+K40+K46+K59+K62+K72+K91+K101+K111+K134+K144+K150+K166+K191+K215</f>
        <v>68819</v>
      </c>
      <c r="L12" s="1310">
        <f>+L40+L46+L59+L72+L101+L111+L150+L166+L215</f>
        <v>0</v>
      </c>
      <c r="M12" s="1310">
        <f>+M32+M40+M46+M59+M62+M72+M91+M101+M111+M134+M144+M150+M166+M191+M215</f>
        <v>52171</v>
      </c>
      <c r="N12" s="1310">
        <f>+N40+N46+N59+N72+N101+N111+N150+N166+N215</f>
        <v>0</v>
      </c>
      <c r="O12" s="1310">
        <f>+O32+O40+O46+O59+O62+O72+O91+O101+O111+O134+O144+O150+O166+O191+O215</f>
        <v>58403</v>
      </c>
      <c r="P12" s="1310">
        <f>+P40+P46+P59+P72+P101+P111+P150+P166+P215</f>
        <v>0</v>
      </c>
      <c r="Q12" s="1310">
        <f>+Q32+Q40+Q46+Q59+Q62+Q72+Q91+Q101+Q111+Q134+Q144+Q150+Q166+Q191+Q215</f>
        <v>21486</v>
      </c>
      <c r="R12" s="1310">
        <f>+R40+R46+R59+R72+R101+R111+R150+R166+R215</f>
        <v>0</v>
      </c>
      <c r="S12" s="1310">
        <f>+S40+S46+S59+S72+S101+S111+S150+S166+S215</f>
        <v>0</v>
      </c>
      <c r="T12" s="1310">
        <f>+T40+T46+T59+T72+T101+T111+T150+T166+T215</f>
        <v>0</v>
      </c>
    </row>
    <row r="13" spans="1:20" s="1308" customFormat="1" ht="19.5" hidden="1" customHeight="1">
      <c r="A13" s="1335"/>
      <c r="B13" s="1336" t="s">
        <v>1157</v>
      </c>
      <c r="C13" s="1336"/>
      <c r="D13" s="1309"/>
      <c r="E13" s="1309">
        <f>SUBTOTAL(9,G13:S13)</f>
        <v>89018</v>
      </c>
      <c r="F13" s="1310"/>
      <c r="G13" s="1310">
        <f>G39+G57+G66+G71+G85+G90+G100+G110+G117+G160+G214+G223+G245</f>
        <v>44559</v>
      </c>
      <c r="H13" s="1310"/>
      <c r="I13" s="1310">
        <f>I39+I57+I66+I71+I85+I90+I100+I110+I117+I160+I214+I223+I245</f>
        <v>44459</v>
      </c>
      <c r="J13" s="1310"/>
      <c r="K13" s="1310">
        <f>K39+K57+K66+K71+K85+K90+K100+K110+K117+K160+K214+K223+K245</f>
        <v>0</v>
      </c>
      <c r="L13" s="1310"/>
      <c r="M13" s="1310">
        <f>M39+M57+M66+M71+M85+M90+M100+M110+M117+M160+M214+M223+M245</f>
        <v>0</v>
      </c>
      <c r="N13" s="1310"/>
      <c r="O13" s="1310">
        <f>O39+O57+O66+O71+O85+O90+O100+O110+O117+O160+O214+O223+O245</f>
        <v>0</v>
      </c>
      <c r="P13" s="1310"/>
      <c r="Q13" s="1310">
        <f>Q39+Q57+Q66+Q71+Q85+Q90+Q100+Q110+Q117+Q160+Q214+Q223+Q245</f>
        <v>0</v>
      </c>
      <c r="R13" s="1310"/>
      <c r="S13" s="1310"/>
      <c r="T13" s="1310"/>
    </row>
    <row r="14" spans="1:20" s="1308" customFormat="1" ht="19.5" hidden="1" customHeight="1">
      <c r="A14" s="1335"/>
      <c r="B14" s="1336" t="s">
        <v>1159</v>
      </c>
      <c r="C14" s="1336"/>
      <c r="D14" s="1309"/>
      <c r="E14" s="1309">
        <f>SUBTOTAL(9,G14:S14)</f>
        <v>96242</v>
      </c>
      <c r="F14" s="1310"/>
      <c r="G14" s="1310">
        <f>G195+G199</f>
        <v>15861</v>
      </c>
      <c r="H14" s="1310"/>
      <c r="I14" s="1310">
        <f>I195+I199</f>
        <v>15861</v>
      </c>
      <c r="J14" s="1310"/>
      <c r="K14" s="1310">
        <f>K195+K199</f>
        <v>15015</v>
      </c>
      <c r="L14" s="1310"/>
      <c r="M14" s="1310">
        <f>M195+M199</f>
        <v>11482</v>
      </c>
      <c r="N14" s="1310"/>
      <c r="O14" s="1310">
        <f>O195+O199</f>
        <v>17472</v>
      </c>
      <c r="P14" s="1310"/>
      <c r="Q14" s="1310">
        <f>Q195+Q199</f>
        <v>17579</v>
      </c>
      <c r="R14" s="1310"/>
      <c r="S14" s="1310">
        <f>S195+S199</f>
        <v>2972</v>
      </c>
      <c r="T14" s="1310"/>
    </row>
    <row r="15" spans="1:20" s="1308" customFormat="1" ht="19.5" hidden="1" customHeight="1">
      <c r="A15" s="1335"/>
      <c r="B15" s="1336" t="s">
        <v>1161</v>
      </c>
      <c r="C15" s="1336"/>
      <c r="D15" s="1309"/>
      <c r="E15" s="1309">
        <f t="shared" ref="E15:E28" si="2">SUBTOTAL(9,G15:S15)</f>
        <v>14027.441999999999</v>
      </c>
      <c r="F15" s="1310"/>
      <c r="G15" s="1310">
        <f>G138+G154+G177+G179+G197+G200</f>
        <v>500</v>
      </c>
      <c r="H15" s="1310"/>
      <c r="I15" s="1310">
        <f>I138+I154+I177+I179+I197+I200</f>
        <v>2741.192</v>
      </c>
      <c r="J15" s="1310"/>
      <c r="K15" s="1310">
        <f>K138+K154+K177+K179+K197+K200</f>
        <v>2945</v>
      </c>
      <c r="L15" s="1310"/>
      <c r="M15" s="1310">
        <f>M138+M154+M177+M179+M197+M200</f>
        <v>80</v>
      </c>
      <c r="N15" s="1310"/>
      <c r="O15" s="1310">
        <f>O138+O154+O177+O179+O197+O200</f>
        <v>1020</v>
      </c>
      <c r="P15" s="1310"/>
      <c r="Q15" s="1310">
        <f>Q138+Q154+Q177+Q179+Q197+Q200</f>
        <v>5541.25</v>
      </c>
      <c r="R15" s="1310"/>
      <c r="S15" s="1310">
        <f>S138+S154+S177+S179+S197+S200</f>
        <v>1200</v>
      </c>
      <c r="T15" s="1310"/>
    </row>
    <row r="16" spans="1:20" s="1308" customFormat="1" ht="19.5" hidden="1" customHeight="1">
      <c r="A16" s="1335"/>
      <c r="B16" s="1336" t="s">
        <v>1158</v>
      </c>
      <c r="C16" s="1336"/>
      <c r="D16" s="1309"/>
      <c r="E16" s="1309">
        <f t="shared" si="2"/>
        <v>89826</v>
      </c>
      <c r="F16" s="1310"/>
      <c r="G16" s="1310">
        <f>G38+G45+G58+G70+G89+G99+G109+G120+G126+G129+G133+G146+G157+G172+G213+G244+G258</f>
        <v>3046</v>
      </c>
      <c r="H16" s="1310"/>
      <c r="I16" s="1310">
        <f>I38+I45+I58+I70+I89+I99+I109+I120+I126+I129+I133+I146+I157+I172+I213+I244+I258</f>
        <v>4311.1000000000004</v>
      </c>
      <c r="J16" s="1310"/>
      <c r="K16" s="1310">
        <f>K38+K45+K58+K70+K89+K99+K109+K120+K126+K129+K133+K146+K157+K172+K213+K244+K258</f>
        <v>12441.6</v>
      </c>
      <c r="L16" s="1310"/>
      <c r="M16" s="1310">
        <f>M38+M45+M58+M70+M89+M99+M109+M120+M126+M129+M133+M146+M157+M172+M213+M244+M258+M163+M174+M253</f>
        <v>23793.200000000001</v>
      </c>
      <c r="N16" s="1310"/>
      <c r="O16" s="1310">
        <f>O38+O45+O58+O70+O89+O99+O109+O120+O126+O129+O133+O146+O157+O172+O213+O244+O258</f>
        <v>10271.799999999999</v>
      </c>
      <c r="P16" s="1310"/>
      <c r="Q16" s="1310">
        <f>Q38+Q45+Q58+Q70+Q89+Q99+Q109+Q120+Q126+Q129+Q133+Q146+Q157+Q172+Q213+Q244+Q258</f>
        <v>33111.5</v>
      </c>
      <c r="R16" s="1310"/>
      <c r="S16" s="1310">
        <f>S38+S45+S58+S70+S89+S99+S109+S120+S126+S129+S133+S146+S157+S172+S213+S244+S258</f>
        <v>2850.8</v>
      </c>
      <c r="T16" s="1310"/>
    </row>
    <row r="17" spans="1:22" s="1308" customFormat="1" ht="19.5" hidden="1" customHeight="1">
      <c r="A17" s="1335"/>
      <c r="B17" s="1336" t="s">
        <v>1166</v>
      </c>
      <c r="C17" s="1336"/>
      <c r="D17" s="1309"/>
      <c r="E17" s="1309">
        <f t="shared" si="2"/>
        <v>120481</v>
      </c>
      <c r="F17" s="1310"/>
      <c r="G17" s="1310">
        <f>G44+G53+G56</f>
        <v>10789</v>
      </c>
      <c r="H17" s="1310"/>
      <c r="I17" s="1310">
        <f>I44+I53+I56</f>
        <v>10316</v>
      </c>
      <c r="J17" s="1310"/>
      <c r="K17" s="1310">
        <f>K44+K53+K56</f>
        <v>17891</v>
      </c>
      <c r="L17" s="1310"/>
      <c r="M17" s="1310">
        <f>M44+M53+M56</f>
        <v>21566</v>
      </c>
      <c r="N17" s="1310"/>
      <c r="O17" s="1310">
        <f>O44+O53+O56</f>
        <v>37501</v>
      </c>
      <c r="P17" s="1310"/>
      <c r="Q17" s="1310">
        <f>Q44+Q53+Q56</f>
        <v>22418</v>
      </c>
      <c r="R17" s="1310"/>
      <c r="S17" s="1310">
        <f>S44+S53+S56</f>
        <v>0</v>
      </c>
      <c r="T17" s="1310"/>
    </row>
    <row r="18" spans="1:22" s="1308" customFormat="1" ht="19.5" hidden="1" customHeight="1">
      <c r="A18" s="1335"/>
      <c r="B18" s="1336" t="s">
        <v>1162</v>
      </c>
      <c r="C18" s="1336"/>
      <c r="D18" s="1309"/>
      <c r="E18" s="1309">
        <f t="shared" si="2"/>
        <v>47696.759662678334</v>
      </c>
      <c r="F18" s="1310"/>
      <c r="G18" s="1310">
        <f>G77</f>
        <v>12479.5605</v>
      </c>
      <c r="H18" s="1310">
        <f t="shared" ref="H18:S18" si="3">H77</f>
        <v>0</v>
      </c>
      <c r="I18" s="1310">
        <f t="shared" si="3"/>
        <v>3691.6149999999998</v>
      </c>
      <c r="J18" s="1310">
        <f t="shared" si="3"/>
        <v>0</v>
      </c>
      <c r="K18" s="1310">
        <f t="shared" si="3"/>
        <v>7230.4900000000016</v>
      </c>
      <c r="L18" s="1310">
        <f t="shared" si="3"/>
        <v>0</v>
      </c>
      <c r="M18" s="1310">
        <f t="shared" si="3"/>
        <v>5500.5470000000014</v>
      </c>
      <c r="N18" s="1310">
        <f t="shared" si="3"/>
        <v>0</v>
      </c>
      <c r="O18" s="1310">
        <f t="shared" si="3"/>
        <v>5323.6819999999998</v>
      </c>
      <c r="P18" s="1310">
        <f t="shared" si="3"/>
        <v>0</v>
      </c>
      <c r="Q18" s="1310">
        <f t="shared" si="3"/>
        <v>11908.385652217512</v>
      </c>
      <c r="R18" s="1310">
        <f t="shared" si="3"/>
        <v>0</v>
      </c>
      <c r="S18" s="1310">
        <f t="shared" si="3"/>
        <v>1562.4795104608233</v>
      </c>
      <c r="T18" s="1310"/>
    </row>
    <row r="19" spans="1:22" s="1308" customFormat="1" ht="19.5" hidden="1" customHeight="1">
      <c r="A19" s="1335"/>
      <c r="B19" s="1336" t="s">
        <v>1163</v>
      </c>
      <c r="C19" s="1336"/>
      <c r="D19" s="1309"/>
      <c r="E19" s="1309">
        <f t="shared" si="2"/>
        <v>61347</v>
      </c>
      <c r="F19" s="1310"/>
      <c r="G19" s="1310">
        <f>G81+G82</f>
        <v>4896</v>
      </c>
      <c r="H19" s="1310"/>
      <c r="I19" s="1310">
        <f>I81+I82</f>
        <v>0</v>
      </c>
      <c r="J19" s="1310"/>
      <c r="K19" s="1310">
        <f>K81+K82</f>
        <v>21535</v>
      </c>
      <c r="L19" s="1310"/>
      <c r="M19" s="1310">
        <f>M81+M82</f>
        <v>0</v>
      </c>
      <c r="N19" s="1310"/>
      <c r="O19" s="1310">
        <f>O81+O82</f>
        <v>14185</v>
      </c>
      <c r="P19" s="1310"/>
      <c r="Q19" s="1310">
        <f>Q81+Q82</f>
        <v>10662</v>
      </c>
      <c r="R19" s="1310"/>
      <c r="S19" s="1310">
        <f>S81+S82</f>
        <v>10069</v>
      </c>
      <c r="T19" s="1310"/>
    </row>
    <row r="20" spans="1:22" s="1308" customFormat="1" ht="19.5" hidden="1" customHeight="1">
      <c r="A20" s="1335"/>
      <c r="B20" s="1336" t="s">
        <v>1165</v>
      </c>
      <c r="C20" s="1336"/>
      <c r="D20" s="1309"/>
      <c r="E20" s="1309">
        <f t="shared" si="2"/>
        <v>30618</v>
      </c>
      <c r="F20" s="1310"/>
      <c r="G20" s="1310">
        <f t="shared" ref="G20:N20" si="4">G207+G209</f>
        <v>0</v>
      </c>
      <c r="H20" s="1310">
        <f t="shared" si="4"/>
        <v>0</v>
      </c>
      <c r="I20" s="1310">
        <f t="shared" si="4"/>
        <v>0</v>
      </c>
      <c r="J20" s="1310">
        <f t="shared" si="4"/>
        <v>0</v>
      </c>
      <c r="K20" s="1310">
        <f t="shared" si="4"/>
        <v>0</v>
      </c>
      <c r="L20" s="1310">
        <f t="shared" si="4"/>
        <v>0</v>
      </c>
      <c r="M20" s="1310">
        <f t="shared" si="4"/>
        <v>0</v>
      </c>
      <c r="N20" s="1310">
        <f t="shared" si="4"/>
        <v>0</v>
      </c>
      <c r="O20" s="1310">
        <f>O207+O209</f>
        <v>10618</v>
      </c>
      <c r="P20" s="1310">
        <f>P207+P209</f>
        <v>0</v>
      </c>
      <c r="Q20" s="1310">
        <f>Q207+Q209</f>
        <v>20000</v>
      </c>
      <c r="R20" s="1310">
        <f>R207+R209</f>
        <v>0</v>
      </c>
      <c r="S20" s="1310">
        <f>S207+S209</f>
        <v>0</v>
      </c>
      <c r="T20" s="1310"/>
    </row>
    <row r="21" spans="1:22" s="1308" customFormat="1" ht="19.5" hidden="1" customHeight="1">
      <c r="A21" s="1335"/>
      <c r="B21" s="1336" t="s">
        <v>519</v>
      </c>
      <c r="C21" s="1336"/>
      <c r="D21" s="1309"/>
      <c r="E21" s="1309">
        <f t="shared" si="2"/>
        <v>1200000.0000000002</v>
      </c>
      <c r="F21" s="1310"/>
      <c r="G21" s="1310">
        <f>G193</f>
        <v>89429.207748339453</v>
      </c>
      <c r="H21" s="1310">
        <f t="shared" ref="H21:S21" si="5">H193</f>
        <v>0</v>
      </c>
      <c r="I21" s="1310">
        <f t="shared" si="5"/>
        <v>95676.100936642571</v>
      </c>
      <c r="J21" s="1310">
        <f t="shared" si="5"/>
        <v>0</v>
      </c>
      <c r="K21" s="1310">
        <f t="shared" si="5"/>
        <v>212065.58455029025</v>
      </c>
      <c r="L21" s="1310">
        <f t="shared" si="5"/>
        <v>0</v>
      </c>
      <c r="M21" s="1310">
        <f t="shared" si="5"/>
        <v>169192.17024740984</v>
      </c>
      <c r="N21" s="1310">
        <f t="shared" si="5"/>
        <v>0</v>
      </c>
      <c r="O21" s="1310">
        <f t="shared" si="5"/>
        <v>264083.88685138582</v>
      </c>
      <c r="P21" s="1310">
        <f t="shared" si="5"/>
        <v>0</v>
      </c>
      <c r="Q21" s="1310">
        <f t="shared" si="5"/>
        <v>302481.14385467756</v>
      </c>
      <c r="R21" s="1310">
        <f t="shared" si="5"/>
        <v>0</v>
      </c>
      <c r="S21" s="1310">
        <f t="shared" si="5"/>
        <v>67071.90581125459</v>
      </c>
      <c r="T21" s="1310"/>
    </row>
    <row r="22" spans="1:22" s="1308" customFormat="1" ht="19.5" hidden="1" customHeight="1">
      <c r="A22" s="1335"/>
      <c r="B22" s="1336" t="s">
        <v>700</v>
      </c>
      <c r="C22" s="1336"/>
      <c r="D22" s="1309"/>
      <c r="E22" s="1309">
        <f t="shared" si="2"/>
        <v>6900</v>
      </c>
      <c r="F22" s="1310"/>
      <c r="G22" s="1310">
        <f>G145</f>
        <v>0</v>
      </c>
      <c r="H22" s="1310">
        <f>H145</f>
        <v>0</v>
      </c>
      <c r="I22" s="1310">
        <f>I145</f>
        <v>0</v>
      </c>
      <c r="J22" s="1310">
        <f>J145</f>
        <v>0</v>
      </c>
      <c r="K22" s="1310">
        <f>K145</f>
        <v>2850</v>
      </c>
      <c r="L22" s="1310">
        <f t="shared" ref="L22:S22" si="6">L145</f>
        <v>0</v>
      </c>
      <c r="M22" s="1310">
        <f t="shared" si="6"/>
        <v>0</v>
      </c>
      <c r="N22" s="1310">
        <f t="shared" si="6"/>
        <v>0</v>
      </c>
      <c r="O22" s="1310">
        <f t="shared" si="6"/>
        <v>1950</v>
      </c>
      <c r="P22" s="1310">
        <f t="shared" si="6"/>
        <v>0</v>
      </c>
      <c r="Q22" s="1310">
        <f t="shared" si="6"/>
        <v>2100</v>
      </c>
      <c r="R22" s="1310">
        <f t="shared" si="6"/>
        <v>0</v>
      </c>
      <c r="S22" s="1310">
        <f t="shared" si="6"/>
        <v>0</v>
      </c>
      <c r="T22" s="1310"/>
    </row>
    <row r="23" spans="1:22" s="1308" customFormat="1" ht="19.5" hidden="1" customHeight="1">
      <c r="A23" s="1335"/>
      <c r="B23" s="1336" t="s">
        <v>676</v>
      </c>
      <c r="C23" s="1336"/>
      <c r="D23" s="1309"/>
      <c r="E23" s="1309">
        <f t="shared" si="2"/>
        <v>4080</v>
      </c>
      <c r="F23" s="1310"/>
      <c r="G23" s="1310">
        <f>G184</f>
        <v>0</v>
      </c>
      <c r="H23" s="1310">
        <f>H184</f>
        <v>0</v>
      </c>
      <c r="I23" s="1310">
        <f>I184</f>
        <v>0</v>
      </c>
      <c r="J23" s="1310">
        <f>J184</f>
        <v>0</v>
      </c>
      <c r="K23" s="1310">
        <f>K184</f>
        <v>2430</v>
      </c>
      <c r="L23" s="1310">
        <f t="shared" ref="L23:S23" si="7">L184</f>
        <v>0</v>
      </c>
      <c r="M23" s="1310">
        <f t="shared" si="7"/>
        <v>0</v>
      </c>
      <c r="N23" s="1310">
        <f t="shared" si="7"/>
        <v>0</v>
      </c>
      <c r="O23" s="1310">
        <f t="shared" si="7"/>
        <v>1650</v>
      </c>
      <c r="P23" s="1310">
        <f t="shared" si="7"/>
        <v>0</v>
      </c>
      <c r="Q23" s="1310">
        <f t="shared" si="7"/>
        <v>0</v>
      </c>
      <c r="R23" s="1310">
        <f t="shared" si="7"/>
        <v>0</v>
      </c>
      <c r="S23" s="1310">
        <f t="shared" si="7"/>
        <v>0</v>
      </c>
      <c r="T23" s="1310"/>
    </row>
    <row r="24" spans="1:22" s="1308" customFormat="1" ht="19.5" hidden="1" customHeight="1">
      <c r="A24" s="1335"/>
      <c r="B24" s="1336" t="s">
        <v>1164</v>
      </c>
      <c r="C24" s="1336"/>
      <c r="D24" s="1309"/>
      <c r="E24" s="1309">
        <f>SUBTOTAL(9,G24:S24)</f>
        <v>316387.59999999998</v>
      </c>
      <c r="F24" s="1310"/>
      <c r="G24" s="1310">
        <f t="shared" ref="G24:O24" si="8">G83+G95+G105+G115+G123+G188+G205</f>
        <v>0</v>
      </c>
      <c r="H24" s="1310">
        <f t="shared" si="8"/>
        <v>0</v>
      </c>
      <c r="I24" s="1310">
        <f t="shared" si="8"/>
        <v>0</v>
      </c>
      <c r="J24" s="1310">
        <f t="shared" si="8"/>
        <v>0</v>
      </c>
      <c r="K24" s="1310">
        <f t="shared" si="8"/>
        <v>0</v>
      </c>
      <c r="L24" s="1310">
        <f t="shared" si="8"/>
        <v>0</v>
      </c>
      <c r="M24" s="1310">
        <f t="shared" si="8"/>
        <v>0</v>
      </c>
      <c r="N24" s="1310">
        <f t="shared" si="8"/>
        <v>0</v>
      </c>
      <c r="O24" s="1310">
        <f t="shared" si="8"/>
        <v>0</v>
      </c>
      <c r="P24" s="1310"/>
      <c r="Q24" s="1310">
        <f>Q83+Q95+Q105+Q115+Q123+Q188+Q205</f>
        <v>316387.59999999998</v>
      </c>
      <c r="R24" s="1310">
        <f>R83+R95+R105+R115+R123+R188+R205</f>
        <v>0</v>
      </c>
      <c r="S24" s="1310">
        <f>S83+S95+S105+S115+S123+S188+S205</f>
        <v>0</v>
      </c>
      <c r="T24" s="1310"/>
    </row>
    <row r="25" spans="1:22" s="1308" customFormat="1" ht="19.5" hidden="1" customHeight="1">
      <c r="A25" s="1335"/>
      <c r="B25" s="1336" t="s">
        <v>520</v>
      </c>
      <c r="C25" s="1336"/>
      <c r="D25" s="1309"/>
      <c r="E25" s="1309">
        <f t="shared" si="2"/>
        <v>7719.2579999999998</v>
      </c>
      <c r="F25" s="1310"/>
      <c r="G25" s="1310">
        <f>G49+G230+G234+G261</f>
        <v>667.08</v>
      </c>
      <c r="H25" s="1310"/>
      <c r="I25" s="1310">
        <f>I49+I230+I234+I261</f>
        <v>239.8</v>
      </c>
      <c r="J25" s="1310"/>
      <c r="K25" s="1310">
        <f>K49+K230+K234+K261</f>
        <v>1622.8780000000002</v>
      </c>
      <c r="L25" s="1310"/>
      <c r="M25" s="1310">
        <f>M49+M230+M234+M261</f>
        <v>593.5</v>
      </c>
      <c r="N25" s="1310"/>
      <c r="O25" s="1310">
        <f>O49+O230+O234+O261</f>
        <v>1581</v>
      </c>
      <c r="P25" s="1310"/>
      <c r="Q25" s="1310">
        <f>Q49+Q230+Q234+Q261</f>
        <v>2985</v>
      </c>
      <c r="R25" s="1310"/>
      <c r="S25" s="1310">
        <f>S49+S230+S234+S261</f>
        <v>30</v>
      </c>
      <c r="T25" s="1310"/>
    </row>
    <row r="26" spans="1:22" s="1308" customFormat="1" ht="19.5" hidden="1" customHeight="1">
      <c r="A26" s="1335"/>
      <c r="B26" s="1336" t="s">
        <v>518</v>
      </c>
      <c r="C26" s="1336"/>
      <c r="D26" s="1309"/>
      <c r="E26" s="1309">
        <f t="shared" si="2"/>
        <v>99014</v>
      </c>
      <c r="F26" s="1310"/>
      <c r="G26" s="1310">
        <f>G167+G189+G219+G242</f>
        <v>1064</v>
      </c>
      <c r="H26" s="1310">
        <f t="shared" ref="H26:S26" si="9">H167+H189+H219+H242</f>
        <v>0</v>
      </c>
      <c r="I26" s="1310">
        <f t="shared" si="9"/>
        <v>0</v>
      </c>
      <c r="J26" s="1310">
        <f t="shared" si="9"/>
        <v>0</v>
      </c>
      <c r="K26" s="1310">
        <f t="shared" si="9"/>
        <v>0</v>
      </c>
      <c r="L26" s="1310">
        <f t="shared" si="9"/>
        <v>0</v>
      </c>
      <c r="M26" s="1310">
        <f t="shared" si="9"/>
        <v>6550</v>
      </c>
      <c r="N26" s="1310">
        <f t="shared" si="9"/>
        <v>0</v>
      </c>
      <c r="O26" s="1310">
        <f t="shared" si="9"/>
        <v>0</v>
      </c>
      <c r="P26" s="1310">
        <f t="shared" si="9"/>
        <v>0</v>
      </c>
      <c r="Q26" s="1310">
        <f t="shared" si="9"/>
        <v>91400</v>
      </c>
      <c r="R26" s="1310">
        <f t="shared" si="9"/>
        <v>0</v>
      </c>
      <c r="S26" s="1310">
        <f t="shared" si="9"/>
        <v>0</v>
      </c>
      <c r="T26" s="1310"/>
    </row>
    <row r="27" spans="1:22" s="1308" customFormat="1" ht="19.5" hidden="1" customHeight="1">
      <c r="A27" s="1335"/>
      <c r="B27" s="1336" t="s">
        <v>127</v>
      </c>
      <c r="C27" s="1336"/>
      <c r="D27" s="1309"/>
      <c r="E27" s="1309">
        <f t="shared" si="2"/>
        <v>175086.19358233627</v>
      </c>
      <c r="F27" s="1310"/>
      <c r="G27" s="1310">
        <f>G42+G47+G50+G54+G78+G147+G152+G180+G187+G228+G231+G235+G232</f>
        <v>8422.0101250000007</v>
      </c>
      <c r="H27" s="1310"/>
      <c r="I27" s="1310">
        <f>I42+I47+I50+I54+I78+I147+I152+I180+I187+I228+I231+I235</f>
        <v>7726.7037499999997</v>
      </c>
      <c r="J27" s="1310"/>
      <c r="K27" s="1310">
        <f>K42+K47+K50+K54+K78+K147+K152+K180+K187+K228+K231+K235</f>
        <v>31558.339500000002</v>
      </c>
      <c r="L27" s="1310"/>
      <c r="M27" s="1310">
        <f>M42+M47+M50+M54+M78+M147+M152+M180+M187+M228+M231+M235</f>
        <v>26339.636750000001</v>
      </c>
      <c r="N27" s="1310"/>
      <c r="O27" s="1310">
        <f>O42+O47+O50+O54+O78+O147+O152+O180+O187+O228+O231+O235</f>
        <v>44589.120499999997</v>
      </c>
      <c r="P27" s="1310"/>
      <c r="Q27" s="1310">
        <f>Q42+Q47+Q50+Q54+Q78+Q147+Q152+Q180+Q187+Q228+Q231+Q235</f>
        <v>56059.763079721044</v>
      </c>
      <c r="R27" s="1310"/>
      <c r="S27" s="1310">
        <f>S42+S47+S50+S54+S78+S147+S152+S180+S187+S228+S231+S235</f>
        <v>390.61987761520584</v>
      </c>
      <c r="T27" s="1310"/>
    </row>
    <row r="28" spans="1:22" s="1308" customFormat="1" ht="19.5" hidden="1" customHeight="1">
      <c r="A28" s="1335"/>
      <c r="B28" s="1336" t="s">
        <v>559</v>
      </c>
      <c r="C28" s="1336"/>
      <c r="D28" s="1309"/>
      <c r="E28" s="1309">
        <f t="shared" si="2"/>
        <v>748188.28499999992</v>
      </c>
      <c r="F28" s="1310"/>
      <c r="G28" s="1310">
        <f>G33+G35+G37+G41+G51+G60+G64+G67+G73+G74+G75+G86+G92+G93+G94+G96+G98+G102+G103+G104+G106+G108+G112+G113+G114+G118+G121+G127+G130+G132+G135+G136+G139+G141+G142+G151+G155+G158+G161+G165+G168+G169+G173+G186+G212+G216+G217+G218+G220+G222+G224+G225+G227+G237+G239+G240+G246+G247+G249+G250+G252+G255+G257+G259+G260</f>
        <v>13344.48</v>
      </c>
      <c r="H28" s="1310"/>
      <c r="I28" s="1310">
        <f>I33+I35+I37+I41+I51+I60+I64+I67+I73+I74+I75+I86+I92+I93+I94+I96+I98+I102+I103+I104+I106+I108+I112+I113+I114+I118+I121+I127+I130+I132+I135+I136+I139+I141+I142+I151+I155+I158+I161+I165+I168+I169+I173+I186+I212+I216+I217+I218+I220+I222+I224+I225+I227+I237+I239+I240+I246+I247+I249+I250+I252+I255+I257+I259+I260</f>
        <v>51909.5</v>
      </c>
      <c r="J28" s="1310"/>
      <c r="K28" s="1310">
        <f>K33+K35+K37+K41+K51+K60+K64+K67+K73+K74+K75+K86+K92+K93+K94+K96+K98+K102+K103+K104+K106+K108+K112+K113+K114+K118+K121+K127+K130+K132+K135+K136+K139+K141+K142+K151+K155+K158+K161+K165+K168+K169+K173+K186+K212+K216+K217+K218+K220+K222+K224+K225+K227+K237+K239+K240+K246+K247+K249+K250+K252+K255+K257+K259+K260</f>
        <v>74839.005000000005</v>
      </c>
      <c r="L28" s="1310"/>
      <c r="M28" s="1310">
        <f>M33+M35+M37+M41+M51+M60+M64+M67+M73+M74+M75+M86+M92+M93+M94+M96+M98+M102+M103+M104+M106+M108+M112+M113+M114+M118+M121+M127+M130+M132+M135+M136+M139+M141+M142+M151+M155+M158+M161+M165+M168+M169+M173+M186+M212+M216+M217+M218+M220+M222+M224+M225+M227+M237+M239+M240+M246+M247+M249+M250+M252+M255+M257+M259+M260</f>
        <v>386525.8</v>
      </c>
      <c r="N28" s="1310"/>
      <c r="O28" s="1310">
        <f>O33+O35+O37+O41+O51+O60+O64+O67+O73+O74+O75+O86+O92+O93+O94+O96+O98+O102+O103+O104+O106+O108+O112+O113+O114+O118+O121+O127+O130+O132+O135+O136+O139+O141+O142+O151+O155+O158+O161+O165+O168+O169+O173+O186+O212+O216+O217+O218+O220+O222+O224+O225+O227+O237+O239+O240+O246+O247+O249+O250+O252+O255+O257+O259+O260+O148</f>
        <v>73717</v>
      </c>
      <c r="P28" s="1310"/>
      <c r="Q28" s="1310">
        <f>Q33+Q35+Q37+Q41+Q51+Q60+Q64+Q67+Q73+Q74+Q75+Q86+Q92+Q93+Q94+Q96+Q98+Q102+Q103+Q104+Q106+Q108+Q112+Q113+Q114+Q118+Q121+Q127+Q130+Q132+Q135+Q136+Q139+Q141+Q142+Q151+Q155+Q158+Q161+Q165+Q168+Q169+Q173+Q186+Q212+Q216+Q217+Q218+Q220+Q222+Q224+Q225+Q227+Q237+Q239+Q240+Q246+Q247+Q249+Q250+Q252+Q255+Q257+Q259+Q260</f>
        <v>147852.5</v>
      </c>
      <c r="R28" s="1310"/>
      <c r="S28" s="1310">
        <f>S33+S35+S37+S41+S51+S60+S64+S67+S73+S74+S75+S86+S92+S93+S94+S96+S98+S102+S103+S104+S106+S108+S112+S113+S114+S118+S121+S127+S130+S132+S135+S136+S139+S141+S142+S151+S155+S158+S161+S165+S168+S169+S173+S186+S212+S216+S217+S218+S220+S222+S224+S225+S227+S237+S239+S240+S246+S247+S249+S250+S252+S255+S257+S259+S260</f>
        <v>0</v>
      </c>
      <c r="T28" s="1310"/>
    </row>
    <row r="29" spans="1:22" s="1313" customFormat="1" ht="21" customHeight="1">
      <c r="A29" s="485" t="s">
        <v>66</v>
      </c>
      <c r="B29" s="1337" t="s">
        <v>93</v>
      </c>
      <c r="C29" s="485" t="s">
        <v>65</v>
      </c>
      <c r="D29" s="1338">
        <f>+F29+H29+J29+L29+N29+P29+R29</f>
        <v>0</v>
      </c>
      <c r="E29" s="1311">
        <f>+G29+I29+K29+M29+O29+Q29+S29</f>
        <v>1798748.2162450147</v>
      </c>
      <c r="F29" s="1312"/>
      <c r="G29" s="1312">
        <f>+G30+G68+G79+G87+G124+G162+G170+G181+G190</f>
        <v>130299.950625</v>
      </c>
      <c r="H29" s="1312"/>
      <c r="I29" s="1312">
        <f>+I30+I68+I79+I87+I124+I162+I170+I181+I190</f>
        <v>156371.11874999999</v>
      </c>
      <c r="J29" s="1312"/>
      <c r="K29" s="1312">
        <f>+K30+K68+K79+K87+K124+K162+K170+K181+K190</f>
        <v>238817.3125</v>
      </c>
      <c r="L29" s="1312"/>
      <c r="M29" s="1312">
        <f>+M30+M68+M79+M87+M124+M162+M170+M181+M190</f>
        <v>465649.68375000003</v>
      </c>
      <c r="N29" s="1312"/>
      <c r="O29" s="1312">
        <f>+O30+O68+O79+O87+O124+O162+O170+O181+O190</f>
        <v>243571.60249999998</v>
      </c>
      <c r="P29" s="1312"/>
      <c r="Q29" s="1312">
        <f>+Q30+Q68+Q79+Q87+Q124+Q162+Q170+Q181+Q190</f>
        <v>549165.64873193856</v>
      </c>
      <c r="R29" s="1312"/>
      <c r="S29" s="1312">
        <f>+S30+S68+S79+S87+S124+S162+S170+S181+S190</f>
        <v>14872.899388076028</v>
      </c>
      <c r="T29" s="1319"/>
    </row>
    <row r="30" spans="1:22" s="1314" customFormat="1" ht="21" customHeight="1">
      <c r="A30" s="1339">
        <v>1</v>
      </c>
      <c r="B30" s="1340" t="s">
        <v>68</v>
      </c>
      <c r="C30" s="1339" t="s">
        <v>69</v>
      </c>
      <c r="D30" s="1338">
        <f>+F30+H30+J30+L30+N30+P30+R30</f>
        <v>0</v>
      </c>
      <c r="E30" s="1338">
        <f>G30+I30+K30+M30+O30+Q30</f>
        <v>772110.3916666666</v>
      </c>
      <c r="F30" s="1341"/>
      <c r="G30" s="1342">
        <f>G31+G34+G36+G43+G48+G52+G55+G61+G63+G65</f>
        <v>75642.7</v>
      </c>
      <c r="H30" s="1342"/>
      <c r="I30" s="1342">
        <f>I31+I34+I36+I43+I48+I52+I55+I61+I63+I65</f>
        <v>41550.83</v>
      </c>
      <c r="J30" s="1342"/>
      <c r="K30" s="1342">
        <f>K31+K34+K36+K43+K48+K52+K55+K61+K63+K65</f>
        <v>99530.195000000007</v>
      </c>
      <c r="L30" s="1342"/>
      <c r="M30" s="1342">
        <f>M31+M34+M36+M43+M48+M52+M55+M61+M63+M65</f>
        <v>261304</v>
      </c>
      <c r="N30" s="1342"/>
      <c r="O30" s="1342">
        <f>O31+O34+O36+O43+O48+O52+O55+O61+O63+O65</f>
        <v>114868</v>
      </c>
      <c r="P30" s="1342"/>
      <c r="Q30" s="1342">
        <f>Q31+Q34+Q36+Q43+Q48+Q52+Q55+Q61+Q63+Q65</f>
        <v>179214.66666666669</v>
      </c>
      <c r="R30" s="1342"/>
      <c r="S30" s="1342">
        <f>S31+S34+S36+S43+S48+S52+S55+S61+S63+S65</f>
        <v>0</v>
      </c>
      <c r="T30" s="1319"/>
      <c r="U30" s="1376"/>
    </row>
    <row r="31" spans="1:22" s="1286" customFormat="1" ht="24" customHeight="1">
      <c r="A31" s="1343" t="s">
        <v>81</v>
      </c>
      <c r="B31" s="1317" t="s">
        <v>695</v>
      </c>
      <c r="C31" s="484" t="s">
        <v>69</v>
      </c>
      <c r="D31" s="1344">
        <f>+F31+H31+J31+L31+N31+P31+R31</f>
        <v>69.06</v>
      </c>
      <c r="E31" s="1338">
        <f>G31+I31+K31+M31+O31+Q31</f>
        <v>255466</v>
      </c>
      <c r="F31" s="1345"/>
      <c r="G31" s="1345"/>
      <c r="H31" s="1345"/>
      <c r="I31" s="1345"/>
      <c r="J31" s="1345"/>
      <c r="K31" s="1345"/>
      <c r="L31" s="1345">
        <v>35.659999999999997</v>
      </c>
      <c r="M31" s="1345">
        <f>'TC huyen HY'!M11+'TC huyen HY'!M12+'TC huyen HY'!M10</f>
        <v>169680</v>
      </c>
      <c r="N31" s="1345"/>
      <c r="O31" s="1345"/>
      <c r="P31" s="1345">
        <v>33.4</v>
      </c>
      <c r="Q31" s="1345">
        <f>'[58]Biểu 12. Bieu giao thong (KHHT)'!$H$174-14800</f>
        <v>85786</v>
      </c>
      <c r="R31" s="1345"/>
      <c r="S31" s="1345"/>
      <c r="T31" s="1329"/>
      <c r="V31" s="1315"/>
    </row>
    <row r="32" spans="1:22" s="1287" customFormat="1" ht="22.5" hidden="1" customHeight="1">
      <c r="A32" s="1346"/>
      <c r="B32" s="1347" t="s">
        <v>1036</v>
      </c>
      <c r="C32" s="1348"/>
      <c r="D32" s="1349"/>
      <c r="E32" s="1350"/>
      <c r="F32" s="1351"/>
      <c r="G32" s="1351"/>
      <c r="H32" s="1351"/>
      <c r="I32" s="1351"/>
      <c r="J32" s="1351"/>
      <c r="K32" s="1351"/>
      <c r="L32" s="1351"/>
      <c r="M32" s="1351"/>
      <c r="N32" s="1351"/>
      <c r="O32" s="1351"/>
      <c r="P32" s="1351"/>
      <c r="Q32" s="1351">
        <f>'[58]Biểu 12. Bieu giao thong (KHHT)'!$K$174</f>
        <v>7786</v>
      </c>
      <c r="R32" s="1351"/>
      <c r="S32" s="1351"/>
      <c r="T32" s="1327"/>
      <c r="U32" s="1287">
        <v>1</v>
      </c>
      <c r="V32" s="1316"/>
    </row>
    <row r="33" spans="1:22" s="1287" customFormat="1" ht="22.5" hidden="1" customHeight="1">
      <c r="A33" s="1346"/>
      <c r="B33" s="1347" t="s">
        <v>1154</v>
      </c>
      <c r="C33" s="1348"/>
      <c r="D33" s="1349"/>
      <c r="E33" s="1350"/>
      <c r="F33" s="1351"/>
      <c r="G33" s="1351"/>
      <c r="H33" s="1351"/>
      <c r="I33" s="1351"/>
      <c r="J33" s="1351"/>
      <c r="K33" s="1351"/>
      <c r="L33" s="1351"/>
      <c r="M33" s="1351">
        <f>M31</f>
        <v>169680</v>
      </c>
      <c r="N33" s="1351"/>
      <c r="O33" s="1351"/>
      <c r="P33" s="1351"/>
      <c r="Q33" s="1351">
        <f>'[58]Biểu 12. Bieu giao thong (KHHT)'!$Y$174</f>
        <v>78000</v>
      </c>
      <c r="R33" s="1351"/>
      <c r="S33" s="1351"/>
      <c r="T33" s="1327"/>
      <c r="U33" s="1287">
        <v>2</v>
      </c>
      <c r="V33" s="1316"/>
    </row>
    <row r="34" spans="1:22" s="1286" customFormat="1" ht="27.75" customHeight="1">
      <c r="A34" s="484" t="s">
        <v>70</v>
      </c>
      <c r="B34" s="1317" t="s">
        <v>1035</v>
      </c>
      <c r="C34" s="484" t="s">
        <v>69</v>
      </c>
      <c r="D34" s="1344">
        <f>+F34+H34+J34+L34+N34+P34+R34</f>
        <v>7</v>
      </c>
      <c r="E34" s="1338">
        <f>+G34+I34+K34+M34+O34+Q34+S34</f>
        <v>16667</v>
      </c>
      <c r="F34" s="1345"/>
      <c r="G34" s="1345"/>
      <c r="H34" s="1345"/>
      <c r="I34" s="1345"/>
      <c r="J34" s="1345"/>
      <c r="K34" s="1345"/>
      <c r="L34" s="1345"/>
      <c r="M34" s="1345"/>
      <c r="N34" s="1345"/>
      <c r="O34" s="1345"/>
      <c r="P34" s="1345">
        <v>7</v>
      </c>
      <c r="Q34" s="1345">
        <f>'[58]Biểu 10. Đô thị văn minh'!$G$37</f>
        <v>16667</v>
      </c>
      <c r="R34" s="1345"/>
      <c r="S34" s="1345"/>
      <c r="T34" s="1329"/>
      <c r="V34" s="1315"/>
    </row>
    <row r="35" spans="1:22" s="1287" customFormat="1" ht="16.5" hidden="1" customHeight="1">
      <c r="A35" s="1348"/>
      <c r="B35" s="1347" t="s">
        <v>1154</v>
      </c>
      <c r="C35" s="1348"/>
      <c r="D35" s="1349"/>
      <c r="E35" s="1350"/>
      <c r="F35" s="1351"/>
      <c r="G35" s="1351"/>
      <c r="H35" s="1351"/>
      <c r="I35" s="1351"/>
      <c r="J35" s="1351"/>
      <c r="K35" s="1351"/>
      <c r="L35" s="1351"/>
      <c r="M35" s="1351"/>
      <c r="N35" s="1351"/>
      <c r="O35" s="1351"/>
      <c r="P35" s="1351"/>
      <c r="Q35" s="1351">
        <f>'[58]Biểu 10. Đô thị văn minh'!$W$36</f>
        <v>16667</v>
      </c>
      <c r="R35" s="1351"/>
      <c r="S35" s="1351"/>
      <c r="T35" s="1327"/>
      <c r="U35" s="1287">
        <v>2</v>
      </c>
      <c r="V35" s="1316"/>
    </row>
    <row r="36" spans="1:22" s="1286" customFormat="1" ht="21" customHeight="1">
      <c r="A36" s="484" t="s">
        <v>70</v>
      </c>
      <c r="B36" s="1317" t="s">
        <v>108</v>
      </c>
      <c r="C36" s="484" t="s">
        <v>69</v>
      </c>
      <c r="D36" s="1344">
        <f>+F36+H36+J36+L36+N36+P36+R36</f>
        <v>127.66</v>
      </c>
      <c r="E36" s="1338">
        <f>+G36+I36+K36+M36+O36+Q36+S36</f>
        <v>120127.51666666668</v>
      </c>
      <c r="F36" s="1345">
        <f>12+11.5+1.3</f>
        <v>24.8</v>
      </c>
      <c r="G36" s="1345">
        <f>'DT GNBV'!L22+'DT GNBV'!L61+'DT GNBV'!L62+'[59]B5 (DA42023)'!$V$32+'[59]B5 (DA42023)'!$V$34</f>
        <v>29055.5</v>
      </c>
      <c r="H36" s="1344">
        <f>3+2.2+2.5+3.5+3+2+3+4.3+2.5+0.8+5</f>
        <v>31.8</v>
      </c>
      <c r="I36" s="1319">
        <f>'DT GNBV'!L31-'DT GNBV'!L39+'[59]B5 (DA42023)'!$V$16+'[59]B5 (DA42023)'!$V$109+'[59]B5 (DA42023)'!$V$111</f>
        <v>10330.599999999999</v>
      </c>
      <c r="J36" s="1352">
        <f>7.5+12+4</f>
        <v>23.5</v>
      </c>
      <c r="K36" s="1352">
        <f>NTM!U15+'[59]B5 (DA42023)'!$V$17+'[59]B5 (DA42023)'!$V$265+'[59]B5 (DA42023)'!$V$219</f>
        <v>24805.25</v>
      </c>
      <c r="L36" s="1353">
        <f>HY!D45+HY!D83</f>
        <v>5.4300000000000015</v>
      </c>
      <c r="M36" s="1352">
        <f>HY!E45+HY!E83</f>
        <v>16090.000000000004</v>
      </c>
      <c r="N36" s="1352">
        <f>8.2+3</f>
        <v>11.2</v>
      </c>
      <c r="O36" s="1352">
        <f>NTM!U17+NTM!U18+NTM!U19+NTM!U20+NTM!U22+NTM!U24+400</f>
        <v>12714.5</v>
      </c>
      <c r="P36" s="1352">
        <f>7.4+5.9+'[58]Biểu 12. Bieu giao thong (KHHT)'!$D$176</f>
        <v>30.93</v>
      </c>
      <c r="Q36" s="1352">
        <f>NTM!U25+NTM!U27+NTM!U28+'[58]Biểu 12. Bieu giao thong (KHHT)'!$K$226+'[58]Biểu 12. Bieu giao thong (KHHT)'!$G$176</f>
        <v>27131.666666666668</v>
      </c>
      <c r="R36" s="1352"/>
      <c r="S36" s="1319"/>
      <c r="T36" s="1329"/>
      <c r="V36" s="1315">
        <f>+O36/N36</f>
        <v>1135.2232142857144</v>
      </c>
    </row>
    <row r="37" spans="1:22" s="1287" customFormat="1" ht="20.25" hidden="1" customHeight="1">
      <c r="A37" s="1348"/>
      <c r="B37" s="1347" t="s">
        <v>1154</v>
      </c>
      <c r="C37" s="1348"/>
      <c r="D37" s="1349"/>
      <c r="E37" s="1350"/>
      <c r="F37" s="1351"/>
      <c r="G37" s="1351"/>
      <c r="H37" s="1349"/>
      <c r="I37" s="1322"/>
      <c r="J37" s="1354"/>
      <c r="K37" s="1354"/>
      <c r="L37" s="1355"/>
      <c r="M37" s="1354">
        <f>HY!H45</f>
        <v>1000</v>
      </c>
      <c r="N37" s="1354"/>
      <c r="O37" s="1354"/>
      <c r="P37" s="1354"/>
      <c r="Q37" s="1354"/>
      <c r="R37" s="1354"/>
      <c r="S37" s="1322"/>
      <c r="T37" s="1327"/>
      <c r="U37" s="1287">
        <v>2</v>
      </c>
      <c r="V37" s="1316"/>
    </row>
    <row r="38" spans="1:22" s="1287" customFormat="1" ht="20.25" hidden="1" customHeight="1">
      <c r="A38" s="1348"/>
      <c r="B38" s="1347" t="s">
        <v>867</v>
      </c>
      <c r="C38" s="1348"/>
      <c r="D38" s="1349"/>
      <c r="E38" s="1350"/>
      <c r="F38" s="1351"/>
      <c r="G38" s="1351"/>
      <c r="H38" s="1349"/>
      <c r="I38" s="1322"/>
      <c r="J38" s="1354"/>
      <c r="K38" s="1354">
        <f>NTM!H15</f>
        <v>4503.3</v>
      </c>
      <c r="L38" s="1355"/>
      <c r="M38" s="1354"/>
      <c r="N38" s="1354"/>
      <c r="O38" s="1354">
        <f>NTM!H17+NTM!H18+NTM!H19+NTM!H20+NTM!H22+NTM!H24</f>
        <v>4925.8</v>
      </c>
      <c r="P38" s="1354"/>
      <c r="Q38" s="1354">
        <f>NTM!H25+NTM!H27+NTM!H28</f>
        <v>10676.5</v>
      </c>
      <c r="R38" s="1354"/>
      <c r="S38" s="1322"/>
      <c r="T38" s="1327"/>
      <c r="U38" s="1287">
        <v>1</v>
      </c>
      <c r="V38" s="1316"/>
    </row>
    <row r="39" spans="1:22" s="1287" customFormat="1" ht="20.25" hidden="1" customHeight="1">
      <c r="A39" s="1348"/>
      <c r="B39" s="1347" t="s">
        <v>1026</v>
      </c>
      <c r="C39" s="1348"/>
      <c r="D39" s="1349"/>
      <c r="E39" s="1350"/>
      <c r="F39" s="1351"/>
      <c r="G39" s="1351">
        <f>'DT GNBV'!M22+'DT GNBV'!M61+'DT GNBV'!M62</f>
        <v>26850</v>
      </c>
      <c r="H39" s="1349"/>
      <c r="I39" s="1322">
        <f>'DT GNBV'!M31-'DT GNBV'!M39</f>
        <v>2120</v>
      </c>
      <c r="J39" s="1354"/>
      <c r="K39" s="1354"/>
      <c r="L39" s="1355"/>
      <c r="M39" s="1354"/>
      <c r="N39" s="1354"/>
      <c r="O39" s="1354"/>
      <c r="P39" s="1354"/>
      <c r="Q39" s="1354"/>
      <c r="R39" s="1354"/>
      <c r="S39" s="1322"/>
      <c r="T39" s="1327"/>
      <c r="U39" s="1287">
        <v>1</v>
      </c>
      <c r="V39" s="1316"/>
    </row>
    <row r="40" spans="1:22" s="1287" customFormat="1" ht="20.25" hidden="1" customHeight="1">
      <c r="A40" s="1348"/>
      <c r="B40" s="1347" t="s">
        <v>1036</v>
      </c>
      <c r="C40" s="1348"/>
      <c r="D40" s="1349"/>
      <c r="E40" s="1350"/>
      <c r="F40" s="1351"/>
      <c r="G40" s="1351">
        <f>'[59]B5 (DA42023)'!$W$32+'[59]B5 (DA42023)'!$W$34</f>
        <v>1400</v>
      </c>
      <c r="H40" s="1349"/>
      <c r="I40" s="1322">
        <f>'[59]B5 (DA42023)'!$W$16+'[59]B5 (DA42023)'!$W$109+'[59]B5 (DA42023)'!$W$111</f>
        <v>6363</v>
      </c>
      <c r="J40" s="1354"/>
      <c r="K40" s="1354">
        <f>'[59]B5 (DA42023)'!$W$17+'[59]B5 (DA42023)'!$W$219+'[59]B5 (DA42023)'!$W$265</f>
        <v>11002</v>
      </c>
      <c r="L40" s="1355"/>
      <c r="M40" s="1354"/>
      <c r="N40" s="1354"/>
      <c r="O40" s="1354">
        <v>400</v>
      </c>
      <c r="P40" s="1354"/>
      <c r="Q40" s="1354">
        <f>'[58]Biểu 12. Bieu giao thong (KHHT)'!$K$226</f>
        <v>0</v>
      </c>
      <c r="R40" s="1354"/>
      <c r="S40" s="1322"/>
      <c r="T40" s="1327"/>
      <c r="U40" s="1287">
        <v>1</v>
      </c>
      <c r="V40" s="1316"/>
    </row>
    <row r="41" spans="1:22" s="1287" customFormat="1" ht="20.25" hidden="1" customHeight="1">
      <c r="A41" s="1348"/>
      <c r="B41" s="1347" t="s">
        <v>1154</v>
      </c>
      <c r="C41" s="1348"/>
      <c r="D41" s="1349"/>
      <c r="E41" s="1350"/>
      <c r="F41" s="1351"/>
      <c r="G41" s="1351">
        <f>'DT GNBV'!N22+'DT GNBV'!N61+'DT GNBV'!N62</f>
        <v>805.5</v>
      </c>
      <c r="H41" s="1349"/>
      <c r="I41" s="1322">
        <f>'DT GNBV'!N31-'DT GNBV'!N39+'[59]B5 (DA42023)'!$X$16+'[59]B5 (DA42023)'!$X$111</f>
        <v>1847.6</v>
      </c>
      <c r="J41" s="1354"/>
      <c r="K41" s="1354">
        <f>'[59]B5 (DA42023)'!$X$17</f>
        <v>2545</v>
      </c>
      <c r="L41" s="1355"/>
      <c r="M41" s="1354">
        <f>HY!G83</f>
        <v>15090.000000000004</v>
      </c>
      <c r="N41" s="1354"/>
      <c r="O41" s="1354"/>
      <c r="P41" s="1354"/>
      <c r="Q41" s="1354">
        <f>'[58]Biểu 12. Bieu giao thong (KHHT)'!$AE$176</f>
        <v>9337.5</v>
      </c>
      <c r="R41" s="1354"/>
      <c r="S41" s="1322"/>
      <c r="T41" s="1327"/>
      <c r="U41" s="1287">
        <v>2</v>
      </c>
      <c r="V41" s="1316"/>
    </row>
    <row r="42" spans="1:22" s="1287" customFormat="1" ht="20.25" hidden="1" customHeight="1">
      <c r="A42" s="1348"/>
      <c r="B42" s="1347" t="s">
        <v>127</v>
      </c>
      <c r="C42" s="1348"/>
      <c r="D42" s="1349"/>
      <c r="E42" s="1350"/>
      <c r="F42" s="1351"/>
      <c r="G42" s="1351"/>
      <c r="H42" s="1349"/>
      <c r="I42" s="1322"/>
      <c r="J42" s="1354"/>
      <c r="K42" s="1354">
        <f>NTM!G15</f>
        <v>6754.95</v>
      </c>
      <c r="L42" s="1355"/>
      <c r="M42" s="1354"/>
      <c r="N42" s="1354"/>
      <c r="O42" s="1354">
        <f>NTM!G17+NTM!G18+NTM!G19+NTM!G20+NTM!G22+NTM!G24</f>
        <v>7388.7</v>
      </c>
      <c r="P42" s="1354"/>
      <c r="Q42" s="1354">
        <f>NTM!G25+NTM!G27+NTM!G28</f>
        <v>7117.6666666666679</v>
      </c>
      <c r="R42" s="1354"/>
      <c r="S42" s="1322"/>
      <c r="T42" s="1327"/>
      <c r="U42" s="1287">
        <v>1</v>
      </c>
      <c r="V42" s="1316"/>
    </row>
    <row r="43" spans="1:22" s="1286" customFormat="1" ht="25.5" customHeight="1">
      <c r="A43" s="484" t="s">
        <v>70</v>
      </c>
      <c r="B43" s="1317" t="s">
        <v>1049</v>
      </c>
      <c r="C43" s="484" t="s">
        <v>69</v>
      </c>
      <c r="D43" s="1344">
        <f>+F43+H43+J43+L43+N43+P43+R43</f>
        <v>363.73499999999996</v>
      </c>
      <c r="E43" s="1338">
        <f>+G43+I43+K43+M43+O43+Q43+S43</f>
        <v>209258.75</v>
      </c>
      <c r="F43" s="1356">
        <f>0.035+17.15+1.7+22.55</f>
        <v>41.435000000000002</v>
      </c>
      <c r="G43" s="1319">
        <f>'[59]B5 (DA42023)'!$V$33+'[59]B8 (DA92023)'!$T$17+'[59]B8 (DA92023)'!$T$19+'[59]B5 (DA42023)'!$V$40+'[59]B5 (DA42023)'!$V$48+'[59]B5 (DA42023)'!$V$49+'[59]B5 (DA42023)'!$V$51+'[59]B5 (DA42023)'!$V$52+'[59]B5 (DA42023)'!$V$54+'[59]B5 (DA42023)'!$V$55+'[59]B5 (DA42023)'!$V$62+'[59]B5 (DA42023)'!$V$63+'[59]B5 (DA42023)'!$V$64+'[59]B5 (DA42023)'!$V$65</f>
        <v>11334</v>
      </c>
      <c r="H43" s="1344">
        <f>6+13+22.2</f>
        <v>41.2</v>
      </c>
      <c r="I43" s="1319">
        <f>NTM!U13+NTM!U14+10286</f>
        <v>15676</v>
      </c>
      <c r="J43" s="1352">
        <f>+GTNT!E14+1+46.25</f>
        <v>59.25</v>
      </c>
      <c r="K43" s="1345">
        <f>GTNT!X14+NTM!U15+'[59]B8 (DA92023)'!$T$31+24288</f>
        <v>44683.75</v>
      </c>
      <c r="L43" s="1352">
        <f>GTNT!E15+58.7</f>
        <v>91.7</v>
      </c>
      <c r="M43" s="1319">
        <f>GTNT!X15+30310</f>
        <v>53862.5</v>
      </c>
      <c r="N43" s="1352">
        <f>GTNT!E16+41.85</f>
        <v>89.85</v>
      </c>
      <c r="O43" s="1319">
        <f>GTNT!X16+25045</f>
        <v>57092.5</v>
      </c>
      <c r="P43" s="1357">
        <f>GTNT!E17+7.3</f>
        <v>40.299999999999997</v>
      </c>
      <c r="Q43" s="1319">
        <f>GTNT!X17+NTM!U26+NTM!U29+NTM!U30</f>
        <v>26610</v>
      </c>
      <c r="R43" s="1352"/>
      <c r="S43" s="1319">
        <f>+R43*800</f>
        <v>0</v>
      </c>
      <c r="T43" s="1329"/>
    </row>
    <row r="44" spans="1:22" s="1287" customFormat="1" ht="22.5" hidden="1" customHeight="1">
      <c r="A44" s="1348"/>
      <c r="B44" s="1347" t="s">
        <v>872</v>
      </c>
      <c r="C44" s="1348"/>
      <c r="D44" s="1349"/>
      <c r="E44" s="1338">
        <f>+G44+I44+K44+M44+O44+Q44+S44</f>
        <v>34467</v>
      </c>
      <c r="F44" s="1351"/>
      <c r="G44" s="1322"/>
      <c r="H44" s="1349"/>
      <c r="I44" s="1322"/>
      <c r="J44" s="1354"/>
      <c r="K44" s="1351">
        <f>GTNT!Y14</f>
        <v>3515</v>
      </c>
      <c r="L44" s="1354"/>
      <c r="M44" s="1322">
        <f>GTNT!Y15</f>
        <v>9421</v>
      </c>
      <c r="N44" s="1354"/>
      <c r="O44" s="1322">
        <f>GTNT!Y16</f>
        <v>12819</v>
      </c>
      <c r="P44" s="1358"/>
      <c r="Q44" s="1322">
        <f>GTNT!Y17</f>
        <v>8712</v>
      </c>
      <c r="R44" s="1354"/>
      <c r="S44" s="1322"/>
      <c r="T44" s="1327"/>
      <c r="U44" s="1287">
        <v>1</v>
      </c>
    </row>
    <row r="45" spans="1:22" s="1287" customFormat="1" ht="22.5" hidden="1" customHeight="1">
      <c r="A45" s="1348"/>
      <c r="B45" s="1347" t="s">
        <v>867</v>
      </c>
      <c r="C45" s="1348"/>
      <c r="D45" s="1349"/>
      <c r="E45" s="1338">
        <f>+G45+I45+K45+M45+O45+Q45+S45</f>
        <v>8591.2999999999993</v>
      </c>
      <c r="F45" s="1351"/>
      <c r="G45" s="1322"/>
      <c r="H45" s="1349"/>
      <c r="I45" s="1322">
        <f>NTM!H13+NTM!H14</f>
        <v>2156</v>
      </c>
      <c r="J45" s="1354"/>
      <c r="K45" s="1351">
        <f>NTM!H15</f>
        <v>4503.3</v>
      </c>
      <c r="L45" s="1354"/>
      <c r="M45" s="1322"/>
      <c r="N45" s="1354"/>
      <c r="O45" s="1322"/>
      <c r="P45" s="1358"/>
      <c r="Q45" s="1322">
        <f>NTM!H26+NTM!H29+NTM!H30</f>
        <v>1932</v>
      </c>
      <c r="R45" s="1354"/>
      <c r="S45" s="1322"/>
      <c r="T45" s="1327"/>
      <c r="U45" s="1287">
        <v>1</v>
      </c>
    </row>
    <row r="46" spans="1:22" s="1287" customFormat="1" ht="22.5" hidden="1" customHeight="1">
      <c r="A46" s="1348"/>
      <c r="B46" s="1347" t="s">
        <v>1036</v>
      </c>
      <c r="C46" s="1348"/>
      <c r="D46" s="1349"/>
      <c r="E46" s="1338">
        <f>+G46+I46+K46+M46+O46+Q46+S46</f>
        <v>101613</v>
      </c>
      <c r="F46" s="1351"/>
      <c r="G46" s="1322">
        <f>'[59]B5 (DA42023)'!$W$33+'[59]B8 (DA92023)'!$T$17+'[59]B8 (DA92023)'!$T$19+'[59]B5 (DA42023)'!$W$40+'[59]B5 (DA42023)'!$W$48+'[59]B5 (DA42023)'!$W$49+'[59]B5 (DA42023)'!$W$51+'[59]B5 (DA42023)'!$W$52+'[59]B5 (DA42023)'!$W$54+'[59]B5 (DA42023)'!$W$55+'[59]B5 (DA42023)'!$W$62+'[59]B5 (DA42023)'!$W$63+'[59]B5 (DA42023)'!$W$64+'[59]B5 (DA42023)'!$W$65</f>
        <v>11334</v>
      </c>
      <c r="H46" s="1349"/>
      <c r="I46" s="1322">
        <f>10286</f>
        <v>10286</v>
      </c>
      <c r="J46" s="1354"/>
      <c r="K46" s="1351">
        <f>'[59]B8 (DA92023)'!$T$31+24288</f>
        <v>24638</v>
      </c>
      <c r="L46" s="1354"/>
      <c r="M46" s="1322">
        <v>30310</v>
      </c>
      <c r="N46" s="1354"/>
      <c r="O46" s="1322">
        <v>25045</v>
      </c>
      <c r="P46" s="1358"/>
      <c r="Q46" s="1322"/>
      <c r="R46" s="1354"/>
      <c r="S46" s="1322"/>
      <c r="T46" s="1327"/>
      <c r="U46" s="1287">
        <v>1</v>
      </c>
    </row>
    <row r="47" spans="1:22" s="1287" customFormat="1" ht="22.5" hidden="1" customHeight="1">
      <c r="A47" s="1348"/>
      <c r="B47" s="1347" t="s">
        <v>127</v>
      </c>
      <c r="C47" s="1348"/>
      <c r="D47" s="1349"/>
      <c r="E47" s="1338">
        <f>+G47+I47+K47+M47+O47+Q47+S47</f>
        <v>64587.45</v>
      </c>
      <c r="F47" s="1351"/>
      <c r="G47" s="1322"/>
      <c r="H47" s="1349"/>
      <c r="I47" s="1322">
        <f>NTM!G13+NTM!G14</f>
        <v>3234</v>
      </c>
      <c r="J47" s="1354"/>
      <c r="K47" s="1351">
        <f>GTNT!X14-GTNT!Y14+NTM!G15</f>
        <v>12027.45</v>
      </c>
      <c r="L47" s="1354"/>
      <c r="M47" s="1322">
        <f>GTNT!X15-GTNT!Y15</f>
        <v>14131.5</v>
      </c>
      <c r="N47" s="1354"/>
      <c r="O47" s="1322">
        <f>GTNT!X16-GTNT!Y16</f>
        <v>19228.5</v>
      </c>
      <c r="P47" s="1358"/>
      <c r="Q47" s="1322">
        <f>GTNT!X17-GTNT!Y17+NTM!G26+NTM!G29+NTM!G30</f>
        <v>15966</v>
      </c>
      <c r="R47" s="1354"/>
      <c r="S47" s="1322"/>
      <c r="T47" s="1327"/>
      <c r="U47" s="1287">
        <v>1</v>
      </c>
    </row>
    <row r="48" spans="1:22" s="1286" customFormat="1" ht="21.75" customHeight="1">
      <c r="A48" s="484" t="s">
        <v>70</v>
      </c>
      <c r="B48" s="1317" t="s">
        <v>110</v>
      </c>
      <c r="C48" s="484" t="s">
        <v>69</v>
      </c>
      <c r="D48" s="1344">
        <f>+F48+H48+J48+L48+N48+P48+R48</f>
        <v>24.12</v>
      </c>
      <c r="E48" s="1338">
        <f>+G48+I48+K48+M48+O48+Q48+S48</f>
        <v>7349.3950000000004</v>
      </c>
      <c r="F48" s="1345">
        <f>LB!D22</f>
        <v>0.50800000000000001</v>
      </c>
      <c r="G48" s="1319">
        <f>+F48*650</f>
        <v>330.2</v>
      </c>
      <c r="H48" s="1344"/>
      <c r="I48" s="1319"/>
      <c r="J48" s="1353">
        <f>CH!D15+CH!D46+CH!D85</f>
        <v>3.2369999999999997</v>
      </c>
      <c r="K48" s="1345">
        <f>CH!E15+CH!E46+CH!E85</f>
        <v>1926.6949999999999</v>
      </c>
      <c r="L48" s="1352">
        <f>HY!D47+HY!D85</f>
        <v>4.2350000000000003</v>
      </c>
      <c r="M48" s="1319">
        <f>HY!E47+HY!E85</f>
        <v>847</v>
      </c>
      <c r="N48" s="1352">
        <f>YS!E73</f>
        <v>1.5</v>
      </c>
      <c r="O48" s="1345">
        <f>YS!F73</f>
        <v>952.5</v>
      </c>
      <c r="P48" s="1357">
        <f>'[58]Biểu 12. Bieu giao thong (KHHT)'!$D$178</f>
        <v>14.64</v>
      </c>
      <c r="Q48" s="1319">
        <f>'[58]Biểu 12. Bieu giao thong (KHHT)'!$G$178</f>
        <v>3293</v>
      </c>
      <c r="R48" s="1352"/>
      <c r="S48" s="1319"/>
      <c r="T48" s="1329"/>
      <c r="U48" s="1286">
        <v>1</v>
      </c>
    </row>
    <row r="49" spans="1:21" s="1287" customFormat="1" ht="21.75" hidden="1" customHeight="1">
      <c r="A49" s="1348"/>
      <c r="B49" s="1347" t="s">
        <v>520</v>
      </c>
      <c r="C49" s="1348"/>
      <c r="D49" s="1349"/>
      <c r="E49" s="1350"/>
      <c r="F49" s="1351"/>
      <c r="G49" s="1322">
        <f>LB!K22</f>
        <v>132.08000000000001</v>
      </c>
      <c r="H49" s="1349"/>
      <c r="I49" s="1322"/>
      <c r="J49" s="1355"/>
      <c r="K49" s="1351">
        <f>CH!P15+CH!H46+CH!H85</f>
        <v>1052.8780000000002</v>
      </c>
      <c r="L49" s="1354"/>
      <c r="M49" s="1322">
        <f>HY!G47+HY!G85</f>
        <v>423.5</v>
      </c>
      <c r="N49" s="1354"/>
      <c r="O49" s="1351">
        <f>YS!M72</f>
        <v>381</v>
      </c>
      <c r="P49" s="1358"/>
      <c r="Q49" s="1322">
        <f>'[58]Biểu 12. Bieu giao thong (KHHT)'!$Q$178</f>
        <v>940</v>
      </c>
      <c r="R49" s="1354"/>
      <c r="S49" s="1322"/>
      <c r="T49" s="1327"/>
      <c r="U49" s="1287">
        <v>1</v>
      </c>
    </row>
    <row r="50" spans="1:21" s="1287" customFormat="1" ht="21.75" hidden="1" customHeight="1">
      <c r="A50" s="1348"/>
      <c r="B50" s="1347" t="s">
        <v>127</v>
      </c>
      <c r="C50" s="1348"/>
      <c r="D50" s="1349"/>
      <c r="E50" s="1350"/>
      <c r="F50" s="1351"/>
      <c r="G50" s="1322">
        <f>LB!P22</f>
        <v>198.11999999999998</v>
      </c>
      <c r="H50" s="1349"/>
      <c r="I50" s="1322"/>
      <c r="J50" s="1355"/>
      <c r="K50" s="1351">
        <f>CH!Y15+CH!W46+CH!W85</f>
        <v>873.81700000000001</v>
      </c>
      <c r="L50" s="1354"/>
      <c r="M50" s="1322">
        <f>HY!L47+HY!M85</f>
        <v>423.5</v>
      </c>
      <c r="N50" s="1354"/>
      <c r="O50" s="1351">
        <f>YS!X73</f>
        <v>571.5</v>
      </c>
      <c r="P50" s="1358"/>
      <c r="Q50" s="1322">
        <f>'[58]Biểu 12. Bieu giao thong (KHHT)'!$AA$178</f>
        <v>1963</v>
      </c>
      <c r="R50" s="1354"/>
      <c r="S50" s="1322"/>
      <c r="T50" s="1327"/>
      <c r="U50" s="1287">
        <v>1</v>
      </c>
    </row>
    <row r="51" spans="1:21" s="1287" customFormat="1" ht="21.75" hidden="1" customHeight="1">
      <c r="A51" s="1348"/>
      <c r="B51" s="1347" t="s">
        <v>1154</v>
      </c>
      <c r="C51" s="1348"/>
      <c r="D51" s="1349"/>
      <c r="E51" s="1350"/>
      <c r="F51" s="1351"/>
      <c r="G51" s="1322"/>
      <c r="H51" s="1349"/>
      <c r="I51" s="1322"/>
      <c r="J51" s="1355"/>
      <c r="K51" s="1351"/>
      <c r="L51" s="1354"/>
      <c r="M51" s="1322"/>
      <c r="N51" s="1354"/>
      <c r="O51" s="1351"/>
      <c r="P51" s="1358"/>
      <c r="Q51" s="1322">
        <f>'[58]Biểu 12. Bieu giao thong (KHHT)'!$J$178</f>
        <v>390</v>
      </c>
      <c r="R51" s="1354"/>
      <c r="S51" s="1322"/>
      <c r="T51" s="1327"/>
      <c r="U51" s="1287">
        <v>2</v>
      </c>
    </row>
    <row r="52" spans="1:21" s="1286" customFormat="1" ht="21" customHeight="1">
      <c r="A52" s="484" t="s">
        <v>70</v>
      </c>
      <c r="B52" s="1317" t="s">
        <v>111</v>
      </c>
      <c r="C52" s="484" t="s">
        <v>69</v>
      </c>
      <c r="D52" s="1359">
        <f>+F52+H52+J52+L52+N52+P52+R52</f>
        <v>102.78</v>
      </c>
      <c r="E52" s="1338">
        <f>+G52+I52+K52+M52+O52+Q52+S52</f>
        <v>57535</v>
      </c>
      <c r="F52" s="1360">
        <f>GTNT!F13</f>
        <v>12.13</v>
      </c>
      <c r="G52" s="1345">
        <f>F52*GTNT!R13</f>
        <v>6780.0000000000009</v>
      </c>
      <c r="H52" s="1359">
        <f>GTNT!F12</f>
        <v>9.65</v>
      </c>
      <c r="I52" s="1319">
        <f>H52*GTNT!R12</f>
        <v>5597.5</v>
      </c>
      <c r="J52" s="1352">
        <f>GTNT!F14</f>
        <v>21</v>
      </c>
      <c r="K52" s="1319">
        <f>J52*GTNT!R14</f>
        <v>11707.5</v>
      </c>
      <c r="L52" s="1352">
        <f>GTNT!F15</f>
        <v>11</v>
      </c>
      <c r="M52" s="1319">
        <f>L52*GTNT!R15</f>
        <v>6132.5</v>
      </c>
      <c r="N52" s="1352">
        <f>GTNT!F16</f>
        <v>31</v>
      </c>
      <c r="O52" s="1319">
        <f>N52*GTNT!R16</f>
        <v>17282.5</v>
      </c>
      <c r="P52" s="1352">
        <f>GTNT!F17</f>
        <v>18</v>
      </c>
      <c r="Q52" s="1319">
        <f>GTNT!R17*'Biểu 1 Chi tiết'!P52</f>
        <v>10035</v>
      </c>
      <c r="R52" s="1352"/>
      <c r="S52" s="1319">
        <f>+R52*650</f>
        <v>0</v>
      </c>
      <c r="T52" s="1322"/>
    </row>
    <row r="53" spans="1:21" s="1287" customFormat="1" ht="21" hidden="1" customHeight="1">
      <c r="A53" s="1348"/>
      <c r="B53" s="1347" t="s">
        <v>872</v>
      </c>
      <c r="C53" s="1348"/>
      <c r="D53" s="1361"/>
      <c r="E53" s="1338">
        <f t="shared" ref="E53:E61" si="10">+G53+I53+K53+M53+O53+Q53+S53</f>
        <v>23014</v>
      </c>
      <c r="F53" s="1362"/>
      <c r="G53" s="1351">
        <f>G52*0.4</f>
        <v>2712.0000000000005</v>
      </c>
      <c r="H53" s="1361"/>
      <c r="I53" s="1351">
        <f>I52*0.4</f>
        <v>2239</v>
      </c>
      <c r="J53" s="1354"/>
      <c r="K53" s="1351">
        <f>K52*0.4</f>
        <v>4683</v>
      </c>
      <c r="L53" s="1354"/>
      <c r="M53" s="1351">
        <f>M52*0.4</f>
        <v>2453</v>
      </c>
      <c r="N53" s="1354"/>
      <c r="O53" s="1351">
        <f>O52*0.4</f>
        <v>6913</v>
      </c>
      <c r="P53" s="1354"/>
      <c r="Q53" s="1351">
        <f>Q52*0.4</f>
        <v>4014</v>
      </c>
      <c r="R53" s="1354"/>
      <c r="S53" s="1351">
        <f>S52*0.4</f>
        <v>0</v>
      </c>
      <c r="T53" s="1322"/>
      <c r="U53" s="1287">
        <v>1</v>
      </c>
    </row>
    <row r="54" spans="1:21" s="1287" customFormat="1" ht="21" hidden="1" customHeight="1">
      <c r="A54" s="1348"/>
      <c r="B54" s="1347" t="s">
        <v>127</v>
      </c>
      <c r="C54" s="1348"/>
      <c r="D54" s="1361"/>
      <c r="E54" s="1338">
        <f t="shared" si="10"/>
        <v>34521</v>
      </c>
      <c r="F54" s="1362"/>
      <c r="G54" s="1351">
        <f>G52*0.6</f>
        <v>4068.0000000000005</v>
      </c>
      <c r="H54" s="1361"/>
      <c r="I54" s="1351">
        <f>I52*0.6</f>
        <v>3358.5</v>
      </c>
      <c r="J54" s="1354"/>
      <c r="K54" s="1351">
        <f>K52*0.6</f>
        <v>7024.5</v>
      </c>
      <c r="L54" s="1354"/>
      <c r="M54" s="1351">
        <f>M52*0.6</f>
        <v>3679.5</v>
      </c>
      <c r="N54" s="1354"/>
      <c r="O54" s="1351">
        <f>O52*0.6</f>
        <v>10369.5</v>
      </c>
      <c r="P54" s="1354"/>
      <c r="Q54" s="1351">
        <f>Q52*0.6</f>
        <v>6021</v>
      </c>
      <c r="R54" s="1354"/>
      <c r="S54" s="1351">
        <f>S52*0.6</f>
        <v>0</v>
      </c>
      <c r="T54" s="1322"/>
      <c r="U54" s="1287">
        <v>1</v>
      </c>
    </row>
    <row r="55" spans="1:21" s="1286" customFormat="1" ht="32.25" customHeight="1">
      <c r="A55" s="484" t="s">
        <v>70</v>
      </c>
      <c r="B55" s="1317" t="s">
        <v>873</v>
      </c>
      <c r="C55" s="484" t="s">
        <v>71</v>
      </c>
      <c r="D55" s="1338">
        <f>+F55+H55+J55+L55+N55+P55+R55</f>
        <v>68</v>
      </c>
      <c r="E55" s="1338">
        <f t="shared" si="10"/>
        <v>91066.73</v>
      </c>
      <c r="F55" s="1345">
        <f>+Cầu!C25+1+3+1+4</f>
        <v>14</v>
      </c>
      <c r="G55" s="1319">
        <f>'[59]B5 (DA42023)'!$V$29+'[59]B5 (DA42023)'!$V$45+'[59]B5 (DA42023)'!$W$53+'[59]B5 (DA42023)'!$W$35+'[59]B5 (DA42023)'!$V$15+Cầu!I12+'DT GNBV'!L60+'[59]B8 (DA92023)'!$T$16+'[59]B8 (DA92023)'!$T$18+'[59]B8 (DA92023)'!$T$21</f>
        <v>22993</v>
      </c>
      <c r="H55" s="1344">
        <f>+Cầu!C12+1+2</f>
        <v>8</v>
      </c>
      <c r="I55" s="1319">
        <f>+Cầu!I12+'DT GNBV'!L56+'[59]B5 (DA42023)'!$V$108+'[59]B5 (DA42023)'!$V$112</f>
        <v>9946.73</v>
      </c>
      <c r="J55" s="1352">
        <f>Cầu!C40+2+3+1+1</f>
        <v>13</v>
      </c>
      <c r="K55" s="1319">
        <f>'[59]B5 (DA42023)'!$V$199+'[59]B5 (DA42023)'!$V$146+Cầu!I40+'[59]B8 (DA92023)'!$T$29+'[59]B8 (DA92023)'!$T$30+'[59]B5 (DA42023)'!$V$123+'[59]B5 (DA42023)'!$V$124+'[59]B5 (DA42023)'!$V$144</f>
        <v>16407</v>
      </c>
      <c r="L55" s="1352">
        <f>Cầu!C55</f>
        <v>6</v>
      </c>
      <c r="M55" s="1319">
        <f>Cầu!I55</f>
        <v>9692</v>
      </c>
      <c r="N55" s="1352">
        <f>Cầu!C70+3+7</f>
        <v>21</v>
      </c>
      <c r="O55" s="1319">
        <f>Cầu!I70+NTM!H16+NTM!H21+NTM!H23+2367</f>
        <v>22336</v>
      </c>
      <c r="P55" s="1357">
        <f>Cầu!C100</f>
        <v>6</v>
      </c>
      <c r="Q55" s="1319">
        <f>Cầu!I100</f>
        <v>9692</v>
      </c>
      <c r="R55" s="1352"/>
      <c r="S55" s="1319"/>
      <c r="T55" s="1322"/>
    </row>
    <row r="56" spans="1:21" s="1287" customFormat="1" ht="25.5" hidden="1" customHeight="1">
      <c r="A56" s="1348"/>
      <c r="B56" s="1347" t="s">
        <v>872</v>
      </c>
      <c r="C56" s="1348"/>
      <c r="D56" s="1350"/>
      <c r="E56" s="1338">
        <f t="shared" si="10"/>
        <v>63000</v>
      </c>
      <c r="F56" s="1351"/>
      <c r="G56" s="1322">
        <v>8077</v>
      </c>
      <c r="H56" s="1349"/>
      <c r="I56" s="1322">
        <v>8077</v>
      </c>
      <c r="J56" s="1354"/>
      <c r="K56" s="1322">
        <v>9693</v>
      </c>
      <c r="L56" s="1354"/>
      <c r="M56" s="1322">
        <v>9692</v>
      </c>
      <c r="N56" s="1354"/>
      <c r="O56" s="1322">
        <v>17769</v>
      </c>
      <c r="P56" s="1358"/>
      <c r="Q56" s="1322">
        <v>9692</v>
      </c>
      <c r="R56" s="1354"/>
      <c r="S56" s="1322"/>
      <c r="T56" s="1327"/>
      <c r="U56" s="1287">
        <v>1</v>
      </c>
    </row>
    <row r="57" spans="1:21" s="1287" customFormat="1" ht="25.5" hidden="1" customHeight="1">
      <c r="A57" s="1348"/>
      <c r="B57" s="1347" t="s">
        <v>1026</v>
      </c>
      <c r="C57" s="1348"/>
      <c r="D57" s="1350"/>
      <c r="E57" s="1338">
        <f t="shared" si="10"/>
        <v>1450</v>
      </c>
      <c r="F57" s="1351"/>
      <c r="G57" s="1322">
        <f>'DT GNBV'!M60</f>
        <v>800</v>
      </c>
      <c r="H57" s="1349"/>
      <c r="I57" s="1322">
        <f>'DT GNBV'!M56</f>
        <v>650</v>
      </c>
      <c r="J57" s="1354"/>
      <c r="K57" s="1322"/>
      <c r="L57" s="1354"/>
      <c r="M57" s="1322"/>
      <c r="N57" s="1354"/>
      <c r="O57" s="1322"/>
      <c r="P57" s="1358"/>
      <c r="Q57" s="1322"/>
      <c r="R57" s="1354"/>
      <c r="S57" s="1322"/>
      <c r="T57" s="1327"/>
      <c r="U57" s="1287">
        <v>1</v>
      </c>
    </row>
    <row r="58" spans="1:21" s="1287" customFormat="1" ht="25.5" hidden="1" customHeight="1">
      <c r="A58" s="1348"/>
      <c r="B58" s="1347" t="s">
        <v>867</v>
      </c>
      <c r="C58" s="1348"/>
      <c r="D58" s="1350"/>
      <c r="E58" s="1338">
        <f t="shared" si="10"/>
        <v>2200</v>
      </c>
      <c r="F58" s="1351"/>
      <c r="G58" s="1322"/>
      <c r="H58" s="1349"/>
      <c r="I58" s="1322"/>
      <c r="J58" s="1354"/>
      <c r="K58" s="1322"/>
      <c r="L58" s="1354"/>
      <c r="M58" s="1322"/>
      <c r="N58" s="1354"/>
      <c r="O58" s="1322">
        <f>NTM!H16+NTM!H21+NTM!H23</f>
        <v>2200</v>
      </c>
      <c r="P58" s="1358"/>
      <c r="Q58" s="1322"/>
      <c r="R58" s="1354"/>
      <c r="S58" s="1322"/>
      <c r="T58" s="1327"/>
      <c r="U58" s="1287">
        <v>1</v>
      </c>
    </row>
    <row r="59" spans="1:21" s="1287" customFormat="1" ht="25.5" hidden="1" customHeight="1">
      <c r="A59" s="1348"/>
      <c r="B59" s="1347" t="s">
        <v>1036</v>
      </c>
      <c r="C59" s="1348"/>
      <c r="D59" s="1350"/>
      <c r="E59" s="1338">
        <f t="shared" si="10"/>
        <v>22590</v>
      </c>
      <c r="F59" s="1351"/>
      <c r="G59" s="1322">
        <f>'[59]B5 (DA42023)'!$W$29+'[59]B5 (DA42023)'!$W$35+'[59]B5 (DA42023)'!$W$45+'[59]B5 (DA42023)'!$W$53+'[59]B8 (DA92023)'!$T$16+'[59]B8 (DA92023)'!$T$18+'[59]B8 (DA92023)'!$T$21+'[59]B5 (DA42023)'!$W$15</f>
        <v>12309</v>
      </c>
      <c r="H59" s="1349"/>
      <c r="I59" s="1322">
        <f>'[59]B5 (DA42023)'!$W$112+'[59]B5 (DA42023)'!$W$108</f>
        <v>1200</v>
      </c>
      <c r="J59" s="1354"/>
      <c r="K59" s="1322">
        <f>'[59]B5 (DA42023)'!$W$199+'[59]B5 (DA42023)'!$W$146+'[59]B8 (DA92023)'!$T$29+'[59]B8 (DA92023)'!$T$30+'[59]B5 (DA42023)'!$W$144+'[59]B5 (DA42023)'!$W$123+'[59]B5 (DA42023)'!$W$124</f>
        <v>6714</v>
      </c>
      <c r="L59" s="1354"/>
      <c r="M59" s="1322"/>
      <c r="N59" s="1354"/>
      <c r="O59" s="1322">
        <v>2367</v>
      </c>
      <c r="P59" s="1358"/>
      <c r="Q59" s="1322"/>
      <c r="R59" s="1354"/>
      <c r="S59" s="1322"/>
      <c r="T59" s="1327"/>
      <c r="U59" s="1287">
        <v>1</v>
      </c>
    </row>
    <row r="60" spans="1:21" s="1287" customFormat="1" ht="25.5" hidden="1" customHeight="1">
      <c r="A60" s="1348"/>
      <c r="B60" s="1347" t="s">
        <v>1154</v>
      </c>
      <c r="C60" s="1348"/>
      <c r="D60" s="1350"/>
      <c r="E60" s="1338">
        <f t="shared" si="10"/>
        <v>1826.73</v>
      </c>
      <c r="F60" s="1351"/>
      <c r="G60" s="1322">
        <f>'DT GNBV'!N60+'[59]B5 (DA42023)'!$X$15</f>
        <v>1807</v>
      </c>
      <c r="H60" s="1349"/>
      <c r="I60" s="1322">
        <f>'DT GNBV'!N56</f>
        <v>19.73</v>
      </c>
      <c r="J60" s="1354"/>
      <c r="K60" s="1322"/>
      <c r="L60" s="1354"/>
      <c r="M60" s="1322"/>
      <c r="N60" s="1354"/>
      <c r="O60" s="1322"/>
      <c r="P60" s="1358"/>
      <c r="Q60" s="1322"/>
      <c r="R60" s="1354"/>
      <c r="S60" s="1322"/>
      <c r="T60" s="1327"/>
      <c r="U60" s="1287">
        <v>2</v>
      </c>
    </row>
    <row r="61" spans="1:21" s="1287" customFormat="1" ht="25.5" customHeight="1">
      <c r="A61" s="484" t="s">
        <v>70</v>
      </c>
      <c r="B61" s="1317" t="s">
        <v>1050</v>
      </c>
      <c r="C61" s="484" t="s">
        <v>71</v>
      </c>
      <c r="D61" s="1338">
        <f>+F61+H61+J61+L61+N61+P61+R61</f>
        <v>5</v>
      </c>
      <c r="E61" s="1338">
        <f t="shared" si="10"/>
        <v>4490</v>
      </c>
      <c r="F61" s="1351"/>
      <c r="G61" s="1322"/>
      <c r="H61" s="1349"/>
      <c r="I61" s="1322"/>
      <c r="J61" s="1354"/>
      <c r="K61" s="1322"/>
      <c r="L61" s="1354"/>
      <c r="M61" s="1319"/>
      <c r="N61" s="1352">
        <f>3+2</f>
        <v>5</v>
      </c>
      <c r="O61" s="1319">
        <f>'[59]B8 (DA92023)'!$T$36+'[59]B8 (DA92023)'!$T$39+'[59]B8 (DA92023)'!$T$40+440</f>
        <v>4490</v>
      </c>
      <c r="P61" s="1357"/>
      <c r="Q61" s="1322"/>
      <c r="R61" s="1354"/>
      <c r="S61" s="1322"/>
      <c r="T61" s="1327"/>
    </row>
    <row r="62" spans="1:21" s="1287" customFormat="1" ht="25.5" hidden="1" customHeight="1">
      <c r="A62" s="1348"/>
      <c r="B62" s="1347" t="s">
        <v>1036</v>
      </c>
      <c r="C62" s="1348"/>
      <c r="D62" s="1350"/>
      <c r="E62" s="1350"/>
      <c r="F62" s="1351"/>
      <c r="G62" s="1322"/>
      <c r="H62" s="1349"/>
      <c r="I62" s="1322"/>
      <c r="J62" s="1354"/>
      <c r="K62" s="1322"/>
      <c r="L62" s="1354"/>
      <c r="M62" s="1322"/>
      <c r="N62" s="1354"/>
      <c r="O62" s="1322">
        <f>'[59]B8 (DA92023)'!$T$36+'[59]B8 (DA92023)'!$T$39+'[59]B8 (DA92023)'!$T$40+440</f>
        <v>4490</v>
      </c>
      <c r="P62" s="1358"/>
      <c r="Q62" s="1322"/>
      <c r="R62" s="1354"/>
      <c r="S62" s="1322"/>
      <c r="T62" s="1327"/>
      <c r="U62" s="1287">
        <v>1</v>
      </c>
    </row>
    <row r="63" spans="1:21" s="1286" customFormat="1" ht="39.75" customHeight="1">
      <c r="A63" s="484" t="s">
        <v>70</v>
      </c>
      <c r="B63" s="1317" t="s">
        <v>1237</v>
      </c>
      <c r="C63" s="484" t="s">
        <v>71</v>
      </c>
      <c r="D63" s="1338">
        <f>+F63+H63+J63+L63+N63+P63+R63</f>
        <v>1</v>
      </c>
      <c r="E63" s="1338">
        <f>+G63+I63+K63+M63+O63+Q63+S63</f>
        <v>5000</v>
      </c>
      <c r="F63" s="1345"/>
      <c r="G63" s="1319"/>
      <c r="H63" s="1344"/>
      <c r="I63" s="1319"/>
      <c r="J63" s="1352"/>
      <c r="K63" s="1319"/>
      <c r="L63" s="1352">
        <v>1</v>
      </c>
      <c r="M63" s="1319">
        <f>'TC huyen HY'!F9</f>
        <v>5000</v>
      </c>
      <c r="N63" s="1352"/>
      <c r="O63" s="1319"/>
      <c r="P63" s="1357"/>
      <c r="Q63" s="1319"/>
      <c r="R63" s="1352"/>
      <c r="S63" s="1319"/>
      <c r="T63" s="1329"/>
    </row>
    <row r="64" spans="1:21" s="1287" customFormat="1" ht="30" hidden="1" customHeight="1">
      <c r="A64" s="1348"/>
      <c r="B64" s="1347" t="s">
        <v>1154</v>
      </c>
      <c r="C64" s="1348"/>
      <c r="D64" s="1350"/>
      <c r="E64" s="1350"/>
      <c r="F64" s="1351"/>
      <c r="G64" s="1322"/>
      <c r="H64" s="1349"/>
      <c r="I64" s="1322"/>
      <c r="J64" s="1354"/>
      <c r="K64" s="1322"/>
      <c r="L64" s="1354"/>
      <c r="M64" s="1322">
        <f>'TC huyen HY'!F9</f>
        <v>5000</v>
      </c>
      <c r="N64" s="1354"/>
      <c r="O64" s="1322"/>
      <c r="P64" s="1358"/>
      <c r="Q64" s="1322"/>
      <c r="R64" s="1354"/>
      <c r="S64" s="1322"/>
      <c r="T64" s="1327"/>
      <c r="U64" s="1287">
        <v>2</v>
      </c>
    </row>
    <row r="65" spans="1:21" s="1286" customFormat="1" ht="32.25" customHeight="1">
      <c r="A65" s="484" t="s">
        <v>70</v>
      </c>
      <c r="B65" s="1317" t="s">
        <v>926</v>
      </c>
      <c r="C65" s="484" t="s">
        <v>71</v>
      </c>
      <c r="D65" s="1338">
        <f>+F65+H65+J65+L65+N65+P65+R65</f>
        <v>1</v>
      </c>
      <c r="E65" s="1338">
        <f>+G65+I65+K65+M65+O65+Q65+S65</f>
        <v>5150</v>
      </c>
      <c r="F65" s="1345">
        <v>1</v>
      </c>
      <c r="G65" s="1319">
        <f>'DT GNBV'!L27</f>
        <v>5150</v>
      </c>
      <c r="H65" s="1344"/>
      <c r="I65" s="1319"/>
      <c r="J65" s="1352"/>
      <c r="K65" s="1319"/>
      <c r="L65" s="1352"/>
      <c r="M65" s="1319"/>
      <c r="N65" s="1352"/>
      <c r="O65" s="1319"/>
      <c r="P65" s="1357"/>
      <c r="Q65" s="1319"/>
      <c r="R65" s="1352"/>
      <c r="S65" s="1319"/>
      <c r="T65" s="1329"/>
    </row>
    <row r="66" spans="1:21" s="1287" customFormat="1" ht="24.95" hidden="1" customHeight="1">
      <c r="A66" s="1348"/>
      <c r="B66" s="1347" t="s">
        <v>1026</v>
      </c>
      <c r="C66" s="1348"/>
      <c r="D66" s="1350"/>
      <c r="E66" s="1350"/>
      <c r="F66" s="1351"/>
      <c r="G66" s="1322">
        <f>'DT GNBV'!M27</f>
        <v>5000</v>
      </c>
      <c r="H66" s="1349"/>
      <c r="I66" s="1322"/>
      <c r="J66" s="1354"/>
      <c r="K66" s="1322"/>
      <c r="L66" s="1354"/>
      <c r="M66" s="1322"/>
      <c r="N66" s="1354"/>
      <c r="O66" s="1322"/>
      <c r="P66" s="1358"/>
      <c r="Q66" s="1322"/>
      <c r="R66" s="1354"/>
      <c r="S66" s="1322"/>
      <c r="T66" s="1327"/>
      <c r="U66" s="1287">
        <v>1</v>
      </c>
    </row>
    <row r="67" spans="1:21" s="1287" customFormat="1" ht="24.95" hidden="1" customHeight="1">
      <c r="A67" s="1348"/>
      <c r="B67" s="1347" t="s">
        <v>1154</v>
      </c>
      <c r="C67" s="1348"/>
      <c r="D67" s="1350"/>
      <c r="E67" s="1350"/>
      <c r="F67" s="1351"/>
      <c r="G67" s="1322">
        <f>'DT GNBV'!N27</f>
        <v>150</v>
      </c>
      <c r="H67" s="1349"/>
      <c r="I67" s="1322"/>
      <c r="J67" s="1354"/>
      <c r="K67" s="1322"/>
      <c r="L67" s="1354"/>
      <c r="M67" s="1322"/>
      <c r="N67" s="1354"/>
      <c r="O67" s="1322"/>
      <c r="P67" s="1358"/>
      <c r="Q67" s="1322"/>
      <c r="R67" s="1354"/>
      <c r="S67" s="1322"/>
      <c r="T67" s="1327"/>
      <c r="U67" s="1287">
        <v>2</v>
      </c>
    </row>
    <row r="68" spans="1:21" s="1314" customFormat="1" ht="21.75" customHeight="1">
      <c r="A68" s="1339">
        <v>2</v>
      </c>
      <c r="B68" s="1340" t="s">
        <v>72</v>
      </c>
      <c r="C68" s="1339" t="s">
        <v>65</v>
      </c>
      <c r="D68" s="1338">
        <f>+F68+H68+J68+L68+N68+P68+R68</f>
        <v>0</v>
      </c>
      <c r="E68" s="1338">
        <f>+G68+I68+K68+M68+O68+Q68+S68</f>
        <v>102264.34957834793</v>
      </c>
      <c r="F68" s="1342"/>
      <c r="G68" s="1342">
        <f>G69+G76</f>
        <v>26782.750625000001</v>
      </c>
      <c r="H68" s="1342"/>
      <c r="I68" s="1342">
        <f t="shared" ref="I68:S68" si="11">I69+I76</f>
        <v>10130.61875</v>
      </c>
      <c r="J68" s="1342"/>
      <c r="K68" s="1342">
        <f t="shared" si="11"/>
        <v>13618.112500000001</v>
      </c>
      <c r="L68" s="1342"/>
      <c r="M68" s="1342">
        <f t="shared" si="11"/>
        <v>6875.6837500000011</v>
      </c>
      <c r="N68" s="1342"/>
      <c r="O68" s="1342">
        <f t="shared" si="11"/>
        <v>10718.602499999999</v>
      </c>
      <c r="P68" s="1342"/>
      <c r="Q68" s="1342">
        <f t="shared" si="11"/>
        <v>32185.482065271892</v>
      </c>
      <c r="R68" s="1342"/>
      <c r="S68" s="1342">
        <f t="shared" si="11"/>
        <v>1953.0993880760291</v>
      </c>
      <c r="T68" s="1319"/>
    </row>
    <row r="69" spans="1:21" s="1286" customFormat="1" ht="28.5" customHeight="1">
      <c r="A69" s="1343" t="s">
        <v>81</v>
      </c>
      <c r="B69" s="1317" t="s">
        <v>1051</v>
      </c>
      <c r="C69" s="484" t="s">
        <v>71</v>
      </c>
      <c r="D69" s="1338">
        <f>+F69+H69+J69+L69+N69+P69+R69</f>
        <v>51</v>
      </c>
      <c r="E69" s="1338">
        <f>+G69+I69+K69+M69+O69+Q69+S69</f>
        <v>42643.4</v>
      </c>
      <c r="F69" s="1319">
        <f>NTM!E87+NTM!E89+NTM!E91+2+3+3+3</f>
        <v>14</v>
      </c>
      <c r="G69" s="1319">
        <f>'[59]B5 (DA42023)'!$V$59+'[59]B5 (DA42023)'!$V$60+'[59]B5 (DA42023)'!$V$61+NTM!H87+NTM!H89+NTM!H91+'DT GNBV'!L75+'DT GNBV'!L76+'[59]B5 (DA42023)'!$W$47+'[59]B5 (DA42023)'!$W$46+'[59]B5 (DA42023)'!$W$31</f>
        <v>11183.3</v>
      </c>
      <c r="H69" s="1338">
        <f>NTM!E99+NTM!E101+5</f>
        <v>7</v>
      </c>
      <c r="I69" s="1338">
        <f>'[59]B5 (DA42023)'!$V$107+NTM!H99+NTM!H101+'[59]B5 (DA42023)'!$V$90+'[59]B5 (DA42023)'!$V$91+'[59]B5 (DA42023)'!$V$99+'[59]B5 (DA42023)'!$V$100</f>
        <v>5516.1</v>
      </c>
      <c r="J69" s="1319">
        <f>2+6+1+2</f>
        <v>11</v>
      </c>
      <c r="K69" s="1319">
        <f>'[59]B5 (DA42023)'!$V$236+'[59]B5 (DA42023)'!$V$261+'[59]B5 (DA42023)'!$V$204+'[59]B5 (DA42023)'!$V$193+'[59]B5 (DA42023)'!$V$181+NTM!H105+NTM!H115+'[59]B5 (DA42023)'!$V$181+'[59]B5 (DA42023)'!$V$157+'[59]B5 (DA42023)'!$V$186+'[59]B5 (DA42023)'!$V$188</f>
        <v>4580</v>
      </c>
      <c r="L69" s="1319"/>
      <c r="M69" s="1319"/>
      <c r="N69" s="1319">
        <f>1+1+3</f>
        <v>5</v>
      </c>
      <c r="O69" s="1319">
        <f>NTM!H159+'[59]B8 (DA92023)'!$T$37+'[59]B5 (DA42023)'!$V$284+'[59]B5 (DA42023)'!$V$320+'[59]B5 (DA42023)'!$V$294</f>
        <v>4064</v>
      </c>
      <c r="P69" s="1319">
        <f>1+1+3+9</f>
        <v>14</v>
      </c>
      <c r="Q69" s="1319">
        <f>NTM!H215+'[58]Biểu 13. Thủy lợi(NN) '!$AC$141+'[58]Biểu 13. Thủy lợi(NN) '!$AC$144+'[58]Biểu 13. Thủy lợi(NN) '!$G$149+'[58]Biểu 13. Thủy lợi(NN) '!$G$154+'[58]Biểu 13. Thủy lợi(NN) '!$G$159+'[58]Biểu 13. Thủy lợi(NN) '!$G$160</f>
        <v>17300</v>
      </c>
      <c r="R69" s="1319"/>
      <c r="S69" s="1319"/>
      <c r="T69" s="1329"/>
    </row>
    <row r="70" spans="1:21" s="1287" customFormat="1" ht="20.25" hidden="1" customHeight="1">
      <c r="A70" s="1346"/>
      <c r="B70" s="1347" t="s">
        <v>867</v>
      </c>
      <c r="C70" s="1348"/>
      <c r="D70" s="1350"/>
      <c r="E70" s="1350"/>
      <c r="F70" s="1322"/>
      <c r="G70" s="1322">
        <v>3046</v>
      </c>
      <c r="H70" s="1350"/>
      <c r="I70" s="1350">
        <v>2155.1</v>
      </c>
      <c r="J70" s="1322"/>
      <c r="K70" s="1322">
        <v>1000</v>
      </c>
      <c r="L70" s="1322"/>
      <c r="M70" s="1322"/>
      <c r="N70" s="1322"/>
      <c r="O70" s="1322">
        <v>1000</v>
      </c>
      <c r="P70" s="1322"/>
      <c r="Q70" s="1322">
        <v>400</v>
      </c>
      <c r="R70" s="1322"/>
      <c r="S70" s="1322"/>
      <c r="T70" s="1327"/>
      <c r="U70" s="1287">
        <v>1</v>
      </c>
    </row>
    <row r="71" spans="1:21" s="1287" customFormat="1" ht="20.25" hidden="1" customHeight="1">
      <c r="A71" s="1346"/>
      <c r="B71" s="1347" t="s">
        <v>1026</v>
      </c>
      <c r="C71" s="1348"/>
      <c r="D71" s="1350"/>
      <c r="E71" s="1350"/>
      <c r="F71" s="1322"/>
      <c r="G71" s="1322">
        <f>'DT GNBV'!M75+'DT GNBV'!M76</f>
        <v>5400</v>
      </c>
      <c r="H71" s="1350"/>
      <c r="I71" s="1350"/>
      <c r="J71" s="1322"/>
      <c r="K71" s="1322"/>
      <c r="L71" s="1322"/>
      <c r="M71" s="1322"/>
      <c r="N71" s="1322"/>
      <c r="O71" s="1322"/>
      <c r="P71" s="1322"/>
      <c r="Q71" s="1322"/>
      <c r="R71" s="1322"/>
      <c r="S71" s="1322"/>
      <c r="T71" s="1327"/>
      <c r="U71" s="1287">
        <v>1</v>
      </c>
    </row>
    <row r="72" spans="1:21" s="1287" customFormat="1" ht="20.25" hidden="1" customHeight="1">
      <c r="A72" s="1346"/>
      <c r="B72" s="1347" t="s">
        <v>1036</v>
      </c>
      <c r="C72" s="1348"/>
      <c r="D72" s="1350"/>
      <c r="E72" s="1350"/>
      <c r="F72" s="1322"/>
      <c r="G72" s="1322">
        <f>'[59]B5 (DA42023)'!$W$31+'[59]B5 (DA42023)'!$W$46+'[59]B5 (DA42023)'!$W$47+'[59]B5 (DA42023)'!$W$59+'[59]B5 (DA42023)'!$W$60+'[59]B5 (DA42023)'!$W$61</f>
        <v>2575</v>
      </c>
      <c r="H72" s="1350"/>
      <c r="I72" s="1350">
        <f>'[59]B5 (DA42023)'!$W$107+'[59]B5 (DA42023)'!$W$90+'[59]B5 (DA42023)'!$W$91+'[59]B5 (DA42023)'!$W$99+'[59]B5 (DA42023)'!$W$100</f>
        <v>3361</v>
      </c>
      <c r="J72" s="1322"/>
      <c r="K72" s="1322">
        <f>'[59]B5 (DA42023)'!$W$261+'[59]B5 (DA42023)'!$W$236+'[59]B5 (DA42023)'!$V$204+'[59]B5 (DA42023)'!$W$193+'[59]B5 (DA42023)'!$W$181+'[59]B5 (DA42023)'!$W$157+'[59]B5 (DA42023)'!$W$181+'[59]B5 (DA42023)'!$W$186+'[59]B5 (DA42023)'!$W$188</f>
        <v>3580</v>
      </c>
      <c r="L72" s="1322"/>
      <c r="M72" s="1322"/>
      <c r="N72" s="1322"/>
      <c r="O72" s="1322">
        <f>'[59]B8 (DA92023)'!$T$37+1770</f>
        <v>3064</v>
      </c>
      <c r="P72" s="1322"/>
      <c r="Q72" s="1322"/>
      <c r="R72" s="1322"/>
      <c r="S72" s="1322"/>
      <c r="T72" s="1327"/>
      <c r="U72" s="1287">
        <v>1</v>
      </c>
    </row>
    <row r="73" spans="1:21" s="1287" customFormat="1" ht="20.25" hidden="1" customHeight="1">
      <c r="A73" s="1346"/>
      <c r="B73" s="1347" t="s">
        <v>1154</v>
      </c>
      <c r="C73" s="1348"/>
      <c r="D73" s="1350"/>
      <c r="E73" s="1350"/>
      <c r="F73" s="1322"/>
      <c r="G73" s="1322">
        <f>'DT GNBV'!N75+'DT GNBV'!N76</f>
        <v>162</v>
      </c>
      <c r="H73" s="1350"/>
      <c r="I73" s="1350"/>
      <c r="J73" s="1322"/>
      <c r="K73" s="1322"/>
      <c r="L73" s="1322"/>
      <c r="M73" s="1322"/>
      <c r="N73" s="1322"/>
      <c r="O73" s="1322"/>
      <c r="P73" s="1322"/>
      <c r="Q73" s="1322"/>
      <c r="R73" s="1322"/>
      <c r="S73" s="1322"/>
      <c r="T73" s="1327"/>
      <c r="U73" s="1287">
        <v>2</v>
      </c>
    </row>
    <row r="74" spans="1:21" s="1287" customFormat="1" ht="20.25" hidden="1" customHeight="1">
      <c r="A74" s="1346"/>
      <c r="B74" s="1347" t="s">
        <v>1154</v>
      </c>
      <c r="C74" s="1348"/>
      <c r="D74" s="1350"/>
      <c r="E74" s="1350"/>
      <c r="F74" s="1322"/>
      <c r="G74" s="1322"/>
      <c r="H74" s="1350"/>
      <c r="I74" s="1350"/>
      <c r="J74" s="1322"/>
      <c r="K74" s="1322"/>
      <c r="L74" s="1322"/>
      <c r="M74" s="1322"/>
      <c r="N74" s="1322"/>
      <c r="O74" s="1322"/>
      <c r="P74" s="1322"/>
      <c r="Q74" s="1322">
        <f>'[58]Biểu 13. Thủy lợi(NN) '!$AE$144+'[58]Biểu 13. Thủy lợi(NN) '!$AE$149+'[58]Biểu 13. Thủy lợi(NN) '!$AE$154+'[58]Biểu 13. Thủy lợi(NN) '!$AE$158+'[58]Biểu 13. Thủy lợi(NN) '!$AE$160+'[58]Biểu 13. Thủy lợi(NN) '!$AE$142</f>
        <v>9400</v>
      </c>
      <c r="R74" s="1322"/>
      <c r="S74" s="1322"/>
      <c r="T74" s="1327"/>
      <c r="U74" s="1287">
        <v>2</v>
      </c>
    </row>
    <row r="75" spans="1:21" s="1287" customFormat="1" ht="20.25" hidden="1" customHeight="1">
      <c r="A75" s="1346"/>
      <c r="B75" s="1347" t="s">
        <v>1154</v>
      </c>
      <c r="C75" s="1348"/>
      <c r="D75" s="1350"/>
      <c r="E75" s="1350"/>
      <c r="F75" s="1322"/>
      <c r="G75" s="1322"/>
      <c r="H75" s="1350"/>
      <c r="I75" s="1350"/>
      <c r="J75" s="1322"/>
      <c r="K75" s="1322"/>
      <c r="L75" s="1322"/>
      <c r="M75" s="1322"/>
      <c r="N75" s="1322"/>
      <c r="O75" s="1322"/>
      <c r="P75" s="1322"/>
      <c r="Q75" s="1322">
        <f>'[58]Biểu 13. Thủy lợi(NN) '!$Y$162</f>
        <v>7500</v>
      </c>
      <c r="R75" s="1322"/>
      <c r="S75" s="1322"/>
      <c r="T75" s="1327"/>
      <c r="U75" s="1287">
        <v>2</v>
      </c>
    </row>
    <row r="76" spans="1:21" s="1286" customFormat="1" ht="26.25" customHeight="1">
      <c r="A76" s="1343" t="s">
        <v>81</v>
      </c>
      <c r="B76" s="1317" t="s">
        <v>107</v>
      </c>
      <c r="C76" s="484" t="s">
        <v>69</v>
      </c>
      <c r="D76" s="1344">
        <f t="shared" ref="D76:E84" si="12">+F76+H76+J76+L76+N76+P76+R76</f>
        <v>62.699999999999996</v>
      </c>
      <c r="E76" s="1338">
        <f t="shared" si="12"/>
        <v>59620.949578347929</v>
      </c>
      <c r="F76" s="1345">
        <f>+KM!C11/1000</f>
        <v>15.5</v>
      </c>
      <c r="G76" s="1345">
        <f>+KM!V11</f>
        <v>15599.450624999999</v>
      </c>
      <c r="H76" s="1344">
        <f>KM!C10/1000</f>
        <v>3.8</v>
      </c>
      <c r="I76" s="1344">
        <f>KM!V10</f>
        <v>4614.5187499999993</v>
      </c>
      <c r="J76" s="1352">
        <f>KM!C12/1000</f>
        <v>9.1</v>
      </c>
      <c r="K76" s="1352">
        <f>KM!V12</f>
        <v>9038.1125000000011</v>
      </c>
      <c r="L76" s="1345">
        <f>KM!C13/1000</f>
        <v>6.5</v>
      </c>
      <c r="M76" s="1345">
        <f>KM!V13</f>
        <v>6875.6837500000011</v>
      </c>
      <c r="N76" s="1352">
        <f>KM!C15/1000</f>
        <v>7.5</v>
      </c>
      <c r="O76" s="1352">
        <f>KM!V15</f>
        <v>6654.6024999999991</v>
      </c>
      <c r="P76" s="1345">
        <f>KM!C14/1000</f>
        <v>17</v>
      </c>
      <c r="Q76" s="1345">
        <f>KM!V14</f>
        <v>14885.48206527189</v>
      </c>
      <c r="R76" s="1352">
        <f>KM!C16/1000</f>
        <v>3.3</v>
      </c>
      <c r="S76" s="1352">
        <f>KM!V16</f>
        <v>1953.0993880760291</v>
      </c>
      <c r="T76" s="1329"/>
    </row>
    <row r="77" spans="1:21" s="1287" customFormat="1" ht="24" hidden="1" customHeight="1">
      <c r="A77" s="1346"/>
      <c r="B77" s="1347" t="s">
        <v>1149</v>
      </c>
      <c r="C77" s="1348"/>
      <c r="D77" s="1349"/>
      <c r="E77" s="1350"/>
      <c r="F77" s="1351"/>
      <c r="G77" s="1351">
        <f>G76*0.8</f>
        <v>12479.5605</v>
      </c>
      <c r="H77" s="1349"/>
      <c r="I77" s="1351">
        <f>I76*0.8</f>
        <v>3691.6149999999998</v>
      </c>
      <c r="J77" s="1354"/>
      <c r="K77" s="1351">
        <f>K76*0.8</f>
        <v>7230.4900000000016</v>
      </c>
      <c r="L77" s="1351"/>
      <c r="M77" s="1351">
        <f>M76*0.8</f>
        <v>5500.5470000000014</v>
      </c>
      <c r="N77" s="1354"/>
      <c r="O77" s="1351">
        <f>O76*0.8</f>
        <v>5323.6819999999998</v>
      </c>
      <c r="P77" s="1351"/>
      <c r="Q77" s="1351">
        <f>Q76*0.8</f>
        <v>11908.385652217512</v>
      </c>
      <c r="R77" s="1354"/>
      <c r="S77" s="1351">
        <f>S76*0.8</f>
        <v>1562.4795104608233</v>
      </c>
      <c r="T77" s="1327"/>
      <c r="U77" s="1287">
        <v>1</v>
      </c>
    </row>
    <row r="78" spans="1:21" s="1287" customFormat="1" ht="24" hidden="1" customHeight="1">
      <c r="A78" s="1346"/>
      <c r="B78" s="1347" t="s">
        <v>127</v>
      </c>
      <c r="C78" s="1348"/>
      <c r="D78" s="1349"/>
      <c r="E78" s="1350"/>
      <c r="F78" s="1351"/>
      <c r="G78" s="1351">
        <f>G76*0.2</f>
        <v>3119.8901249999999</v>
      </c>
      <c r="H78" s="1349"/>
      <c r="I78" s="1351">
        <f>I76*0.2</f>
        <v>922.90374999999995</v>
      </c>
      <c r="J78" s="1354"/>
      <c r="K78" s="1351">
        <f>K76*0.2</f>
        <v>1807.6225000000004</v>
      </c>
      <c r="L78" s="1351"/>
      <c r="M78" s="1351">
        <f>M76*0.2</f>
        <v>1375.1367500000003</v>
      </c>
      <c r="N78" s="1354"/>
      <c r="O78" s="1351">
        <f>O76*0.2</f>
        <v>1330.9204999999999</v>
      </c>
      <c r="P78" s="1351"/>
      <c r="Q78" s="1351">
        <f>Q76*0.2</f>
        <v>2977.096413054378</v>
      </c>
      <c r="R78" s="1354"/>
      <c r="S78" s="1351">
        <f>S76*0.2</f>
        <v>390.61987761520584</v>
      </c>
      <c r="T78" s="1327"/>
      <c r="U78" s="1287">
        <v>1</v>
      </c>
    </row>
    <row r="79" spans="1:21" s="1314" customFormat="1" ht="24.75" customHeight="1">
      <c r="A79" s="1339">
        <v>3</v>
      </c>
      <c r="B79" s="1340" t="s">
        <v>94</v>
      </c>
      <c r="C79" s="1339" t="s">
        <v>65</v>
      </c>
      <c r="D79" s="1338">
        <f t="shared" si="12"/>
        <v>0</v>
      </c>
      <c r="E79" s="1338">
        <f t="shared" si="12"/>
        <v>115273</v>
      </c>
      <c r="F79" s="1342"/>
      <c r="G79" s="1342">
        <f>G80+G84</f>
        <v>4896</v>
      </c>
      <c r="H79" s="1342"/>
      <c r="I79" s="1342">
        <f t="shared" ref="I79:S79" si="13">I80+I84</f>
        <v>2266</v>
      </c>
      <c r="J79" s="1342"/>
      <c r="K79" s="1342">
        <f t="shared" si="13"/>
        <v>21535</v>
      </c>
      <c r="L79" s="1342"/>
      <c r="M79" s="1342">
        <f t="shared" si="13"/>
        <v>0</v>
      </c>
      <c r="N79" s="1342"/>
      <c r="O79" s="1342">
        <f t="shared" si="13"/>
        <v>14185</v>
      </c>
      <c r="P79" s="1342"/>
      <c r="Q79" s="1342">
        <f t="shared" si="13"/>
        <v>62322</v>
      </c>
      <c r="R79" s="1342"/>
      <c r="S79" s="1342">
        <f t="shared" si="13"/>
        <v>10069</v>
      </c>
      <c r="T79" s="1319"/>
    </row>
    <row r="80" spans="1:21" s="1286" customFormat="1" ht="42.75" customHeight="1">
      <c r="A80" s="484" t="s">
        <v>70</v>
      </c>
      <c r="B80" s="1363" t="s">
        <v>1031</v>
      </c>
      <c r="C80" s="1364" t="s">
        <v>71</v>
      </c>
      <c r="D80" s="1338">
        <f t="shared" si="12"/>
        <v>21</v>
      </c>
      <c r="E80" s="1338">
        <f t="shared" si="12"/>
        <v>113007</v>
      </c>
      <c r="F80" s="1345">
        <f>F81+F82</f>
        <v>1</v>
      </c>
      <c r="G80" s="1345">
        <f t="shared" ref="G80:S80" si="14">G81+G82</f>
        <v>4896</v>
      </c>
      <c r="H80" s="1345">
        <f t="shared" si="14"/>
        <v>0</v>
      </c>
      <c r="I80" s="1345">
        <f t="shared" si="14"/>
        <v>0</v>
      </c>
      <c r="J80" s="1345">
        <f t="shared" si="14"/>
        <v>2</v>
      </c>
      <c r="K80" s="1345">
        <f t="shared" si="14"/>
        <v>21535</v>
      </c>
      <c r="L80" s="1345">
        <f t="shared" si="14"/>
        <v>0</v>
      </c>
      <c r="M80" s="1345">
        <f t="shared" si="14"/>
        <v>0</v>
      </c>
      <c r="N80" s="1345">
        <f t="shared" si="14"/>
        <v>1</v>
      </c>
      <c r="O80" s="1345">
        <f t="shared" si="14"/>
        <v>14185</v>
      </c>
      <c r="P80" s="1345">
        <f>P81+P82+P83</f>
        <v>16</v>
      </c>
      <c r="Q80" s="1345">
        <f>Q81+Q82+Q83</f>
        <v>62322</v>
      </c>
      <c r="R80" s="1345">
        <f t="shared" si="14"/>
        <v>1</v>
      </c>
      <c r="S80" s="1345">
        <f t="shared" si="14"/>
        <v>10069</v>
      </c>
      <c r="T80" s="1319"/>
    </row>
    <row r="81" spans="1:21" s="1287" customFormat="1" ht="24.75" hidden="1" customHeight="1">
      <c r="A81" s="1348"/>
      <c r="B81" s="1365" t="s">
        <v>1032</v>
      </c>
      <c r="C81" s="1366" t="s">
        <v>71</v>
      </c>
      <c r="D81" s="1367">
        <f t="shared" si="12"/>
        <v>5</v>
      </c>
      <c r="E81" s="1367">
        <f t="shared" si="12"/>
        <v>51347</v>
      </c>
      <c r="F81" s="1351">
        <v>1</v>
      </c>
      <c r="G81" s="1351">
        <f>+[60]Dien!$H$49</f>
        <v>4896</v>
      </c>
      <c r="H81" s="1351"/>
      <c r="I81" s="1351"/>
      <c r="J81" s="1351">
        <v>1</v>
      </c>
      <c r="K81" s="1351">
        <f>+[60]Dien!$H$48</f>
        <v>11535</v>
      </c>
      <c r="L81" s="1351"/>
      <c r="M81" s="1351"/>
      <c r="N81" s="1351">
        <v>1</v>
      </c>
      <c r="O81" s="1351">
        <f>+[60]Dien!$H$44</f>
        <v>14185</v>
      </c>
      <c r="P81" s="1351">
        <f>1</f>
        <v>1</v>
      </c>
      <c r="Q81" s="1351">
        <f>+[60]Dien!$H$45</f>
        <v>10662</v>
      </c>
      <c r="R81" s="1351">
        <v>1</v>
      </c>
      <c r="S81" s="1351">
        <f>+[60]Dien!$H$47</f>
        <v>10069</v>
      </c>
      <c r="T81" s="1322"/>
      <c r="U81" s="1287">
        <v>1</v>
      </c>
    </row>
    <row r="82" spans="1:21" s="1287" customFormat="1" ht="28.5" hidden="1" customHeight="1">
      <c r="A82" s="1348"/>
      <c r="B82" s="1365" t="s">
        <v>1034</v>
      </c>
      <c r="C82" s="1366" t="s">
        <v>71</v>
      </c>
      <c r="D82" s="1367">
        <f t="shared" si="12"/>
        <v>1</v>
      </c>
      <c r="E82" s="1367">
        <f t="shared" si="12"/>
        <v>10000</v>
      </c>
      <c r="F82" s="1351"/>
      <c r="G82" s="1351"/>
      <c r="H82" s="1351"/>
      <c r="I82" s="1351"/>
      <c r="J82" s="1351">
        <v>1</v>
      </c>
      <c r="K82" s="1351">
        <v>10000</v>
      </c>
      <c r="L82" s="1351"/>
      <c r="M82" s="1351"/>
      <c r="N82" s="1351"/>
      <c r="O82" s="1351"/>
      <c r="P82" s="1351"/>
      <c r="Q82" s="1351"/>
      <c r="R82" s="1351"/>
      <c r="S82" s="1351"/>
      <c r="T82" s="1322"/>
      <c r="U82" s="1287">
        <v>1</v>
      </c>
    </row>
    <row r="83" spans="1:21" s="1287" customFormat="1" ht="28.5" hidden="1" customHeight="1">
      <c r="A83" s="1348"/>
      <c r="B83" s="1365" t="s">
        <v>1037</v>
      </c>
      <c r="C83" s="1366" t="s">
        <v>71</v>
      </c>
      <c r="D83" s="1367">
        <f t="shared" si="12"/>
        <v>15</v>
      </c>
      <c r="E83" s="1367">
        <f t="shared" si="12"/>
        <v>51660</v>
      </c>
      <c r="F83" s="1351"/>
      <c r="G83" s="1351"/>
      <c r="H83" s="1351"/>
      <c r="I83" s="1351"/>
      <c r="J83" s="1351"/>
      <c r="K83" s="1351"/>
      <c r="L83" s="1351"/>
      <c r="M83" s="1351"/>
      <c r="N83" s="1351"/>
      <c r="O83" s="1351"/>
      <c r="P83" s="1351">
        <v>15</v>
      </c>
      <c r="Q83" s="1351">
        <f>'[58]Biểu 14. Điện  (KTHT) '!$H$84</f>
        <v>51660</v>
      </c>
      <c r="R83" s="1351"/>
      <c r="S83" s="1351"/>
      <c r="T83" s="1322"/>
      <c r="U83" s="1287">
        <v>1</v>
      </c>
    </row>
    <row r="84" spans="1:21" s="1286" customFormat="1" ht="22.5" customHeight="1">
      <c r="A84" s="484" t="s">
        <v>81</v>
      </c>
      <c r="B84" s="1317" t="s">
        <v>1028</v>
      </c>
      <c r="C84" s="484" t="s">
        <v>71</v>
      </c>
      <c r="D84" s="1338">
        <f t="shared" si="12"/>
        <v>1</v>
      </c>
      <c r="E84" s="1338">
        <f t="shared" si="12"/>
        <v>2266</v>
      </c>
      <c r="F84" s="1345"/>
      <c r="G84" s="1319"/>
      <c r="H84" s="1345">
        <v>1</v>
      </c>
      <c r="I84" s="1319">
        <f>'DT GNBV'!L52</f>
        <v>2266</v>
      </c>
      <c r="J84" s="1345"/>
      <c r="K84" s="1319"/>
      <c r="L84" s="1345"/>
      <c r="M84" s="1319"/>
      <c r="N84" s="1345"/>
      <c r="O84" s="1345"/>
      <c r="P84" s="1345"/>
      <c r="Q84" s="1319"/>
      <c r="R84" s="1345"/>
      <c r="S84" s="1319"/>
      <c r="T84" s="1319"/>
    </row>
    <row r="85" spans="1:21" s="1287" customFormat="1" ht="20.25" hidden="1" customHeight="1">
      <c r="A85" s="1348"/>
      <c r="B85" s="1347" t="s">
        <v>1026</v>
      </c>
      <c r="C85" s="1348"/>
      <c r="D85" s="1350"/>
      <c r="E85" s="1350"/>
      <c r="F85" s="1351"/>
      <c r="G85" s="1322"/>
      <c r="H85" s="1351"/>
      <c r="I85" s="1322">
        <f>'DT GNBV'!M52</f>
        <v>2200</v>
      </c>
      <c r="J85" s="1351"/>
      <c r="K85" s="1322"/>
      <c r="L85" s="1351"/>
      <c r="M85" s="1322"/>
      <c r="N85" s="1351"/>
      <c r="O85" s="1351"/>
      <c r="P85" s="1351"/>
      <c r="Q85" s="1322"/>
      <c r="R85" s="1351"/>
      <c r="S85" s="1322"/>
      <c r="T85" s="1322"/>
      <c r="U85" s="1287">
        <v>1</v>
      </c>
    </row>
    <row r="86" spans="1:21" s="1287" customFormat="1" ht="23.25" hidden="1" customHeight="1">
      <c r="A86" s="1348"/>
      <c r="B86" s="1347" t="s">
        <v>1154</v>
      </c>
      <c r="C86" s="1348"/>
      <c r="D86" s="1350"/>
      <c r="E86" s="1350"/>
      <c r="F86" s="1351"/>
      <c r="G86" s="1322"/>
      <c r="H86" s="1351"/>
      <c r="I86" s="1322">
        <f>'DT GNBV'!N52</f>
        <v>66</v>
      </c>
      <c r="J86" s="1351"/>
      <c r="K86" s="1322"/>
      <c r="L86" s="1351"/>
      <c r="M86" s="1322"/>
      <c r="N86" s="1351"/>
      <c r="O86" s="1351"/>
      <c r="P86" s="1351"/>
      <c r="Q86" s="1322"/>
      <c r="R86" s="1351"/>
      <c r="S86" s="1322"/>
      <c r="T86" s="1322"/>
      <c r="U86" s="1287">
        <v>2</v>
      </c>
    </row>
    <row r="87" spans="1:21" s="1314" customFormat="1" ht="24.75" customHeight="1">
      <c r="A87" s="1339">
        <v>4</v>
      </c>
      <c r="B87" s="1340" t="s">
        <v>75</v>
      </c>
      <c r="C87" s="1339" t="s">
        <v>65</v>
      </c>
      <c r="D87" s="1338">
        <f>+F87+H87+J87+L87+N87+P87+R87</f>
        <v>0</v>
      </c>
      <c r="E87" s="1338">
        <f>+G87+I87+K87+M87+O87+Q87+S87</f>
        <v>652098.97500000009</v>
      </c>
      <c r="F87" s="1342"/>
      <c r="G87" s="1342">
        <f>G88+G97+G107+G116+G119+G122</f>
        <v>14091</v>
      </c>
      <c r="H87" s="1342"/>
      <c r="I87" s="1342">
        <f>I88+I97+I107+I116+I119+I122</f>
        <v>95768.67</v>
      </c>
      <c r="J87" s="1342"/>
      <c r="K87" s="1342">
        <f>K88+K97+K107+K116+K119+K122</f>
        <v>88023.005000000005</v>
      </c>
      <c r="L87" s="1342"/>
      <c r="M87" s="1342">
        <f>M88+M97+M107+M116+M119+M122</f>
        <v>149685</v>
      </c>
      <c r="N87" s="1342"/>
      <c r="O87" s="1342">
        <f>O88+O97+O107+O116+O119+O122</f>
        <v>85585</v>
      </c>
      <c r="P87" s="1342"/>
      <c r="Q87" s="1342">
        <f>Q88+Q97+Q107+Q116+Q119+Q122</f>
        <v>216095.5</v>
      </c>
      <c r="R87" s="1342"/>
      <c r="S87" s="1342">
        <f>S88+S97+S107+S116+S119+S122</f>
        <v>2850.8</v>
      </c>
      <c r="T87" s="1319"/>
      <c r="U87" s="1314" t="s">
        <v>128</v>
      </c>
    </row>
    <row r="88" spans="1:21" s="1286" customFormat="1" ht="25.5" customHeight="1">
      <c r="A88" s="484" t="s">
        <v>70</v>
      </c>
      <c r="B88" s="1317" t="s">
        <v>14</v>
      </c>
      <c r="C88" s="484" t="s">
        <v>0</v>
      </c>
      <c r="D88" s="1338">
        <f>+F88+H88+J88+L88+N88+P88+R88</f>
        <v>56</v>
      </c>
      <c r="E88" s="1338">
        <f>+G88+I88+K88+M88+O88+Q88+S88</f>
        <v>108497.29999999999</v>
      </c>
      <c r="F88" s="1319"/>
      <c r="G88" s="1319"/>
      <c r="H88" s="1319">
        <f>4+NH!D84+NH!D85+NH!D86+2</f>
        <v>19</v>
      </c>
      <c r="I88" s="1319">
        <f>NH!F53+NH!F54+NH!F55+NH!F56+NH!E84+NH!E85+NH!E86+'DT GNBV'!L46</f>
        <v>8895</v>
      </c>
      <c r="J88" s="1319">
        <f>CH!D18+1+NTM!E108</f>
        <v>3</v>
      </c>
      <c r="K88" s="1319">
        <f>K93+K94+NTM!H109</f>
        <v>9162</v>
      </c>
      <c r="L88" s="1319">
        <f>HY!D17+1+1+1+1</f>
        <v>5</v>
      </c>
      <c r="M88" s="1319">
        <f>SUM(M89:M96)</f>
        <v>25600</v>
      </c>
      <c r="N88" s="1319">
        <f>3+2+5+1+5</f>
        <v>16</v>
      </c>
      <c r="O88" s="1345">
        <f>10180+YS!F39+NTM!H151+NTM!H167+'[59]B5 (DA42023)'!$V$286+'[59]B5 (DA42023)'!$V$289+'[59]B5 (DA42023)'!$V$310+'[59]B5 (DA42023)'!$V$311+'[59]B5 (DA42023)'!$V$316</f>
        <v>16864</v>
      </c>
      <c r="P88" s="1319">
        <f>5+7</f>
        <v>12</v>
      </c>
      <c r="Q88" s="1319">
        <f>SUM(Q89:Q96)</f>
        <v>47176.299999999996</v>
      </c>
      <c r="R88" s="1319">
        <v>1</v>
      </c>
      <c r="S88" s="1319">
        <f>NTM!H232</f>
        <v>800</v>
      </c>
      <c r="T88" s="1319"/>
    </row>
    <row r="89" spans="1:21" s="1287" customFormat="1" ht="25.5" hidden="1" customHeight="1">
      <c r="A89" s="1348"/>
      <c r="B89" s="1347" t="s">
        <v>867</v>
      </c>
      <c r="C89" s="1348"/>
      <c r="D89" s="1350"/>
      <c r="E89" s="1350"/>
      <c r="F89" s="1322"/>
      <c r="G89" s="1322"/>
      <c r="H89" s="1322"/>
      <c r="I89" s="1322"/>
      <c r="J89" s="1322"/>
      <c r="K89" s="1322">
        <f>NTM!H109</f>
        <v>1100</v>
      </c>
      <c r="L89" s="1322"/>
      <c r="M89" s="1347"/>
      <c r="N89" s="1322"/>
      <c r="O89" s="1351">
        <f>NTM!H167+NTM!H151</f>
        <v>846</v>
      </c>
      <c r="P89" s="1322"/>
      <c r="Q89" s="1322">
        <f>NTM!H174+NTM!H194+NTM!H203+NTM!H204+NTM!H225</f>
        <v>7845</v>
      </c>
      <c r="R89" s="1322"/>
      <c r="S89" s="1322">
        <f>NTM!H232</f>
        <v>800</v>
      </c>
      <c r="T89" s="1319"/>
      <c r="U89" s="1287">
        <v>1</v>
      </c>
    </row>
    <row r="90" spans="1:21" s="1287" customFormat="1" ht="25.5" hidden="1" customHeight="1">
      <c r="A90" s="1348"/>
      <c r="B90" s="1347" t="s">
        <v>1026</v>
      </c>
      <c r="C90" s="1348"/>
      <c r="D90" s="1350"/>
      <c r="E90" s="1350"/>
      <c r="F90" s="1322"/>
      <c r="G90" s="1322"/>
      <c r="H90" s="1322"/>
      <c r="I90" s="1322">
        <f>'DT GNBV'!M46</f>
        <v>1500</v>
      </c>
      <c r="J90" s="1322"/>
      <c r="K90" s="1322"/>
      <c r="L90" s="1322"/>
      <c r="M90" s="1347"/>
      <c r="N90" s="1322"/>
      <c r="O90" s="1351"/>
      <c r="P90" s="1322"/>
      <c r="Q90" s="1322"/>
      <c r="R90" s="1322"/>
      <c r="S90" s="1322"/>
      <c r="T90" s="1319"/>
      <c r="U90" s="1287">
        <v>1</v>
      </c>
    </row>
    <row r="91" spans="1:21" s="1287" customFormat="1" ht="25.5" hidden="1" customHeight="1">
      <c r="A91" s="1348"/>
      <c r="B91" s="1347" t="s">
        <v>1036</v>
      </c>
      <c r="C91" s="1348"/>
      <c r="D91" s="1350"/>
      <c r="E91" s="1350"/>
      <c r="F91" s="1322"/>
      <c r="G91" s="1322"/>
      <c r="H91" s="1322"/>
      <c r="I91" s="1322"/>
      <c r="J91" s="1322"/>
      <c r="K91" s="1322"/>
      <c r="L91" s="1322"/>
      <c r="M91" s="1347"/>
      <c r="N91" s="1322"/>
      <c r="O91" s="1351">
        <f>'[59]B5 (DA42023)'!$V$286+'[59]B5 (DA42023)'!$V$289+'[59]B5 (DA42023)'!$V$310+'[59]B5 (DA42023)'!$V$311+'[59]B5 (DA42023)'!$V$316</f>
        <v>4044</v>
      </c>
      <c r="P91" s="1322"/>
      <c r="Q91" s="1322"/>
      <c r="R91" s="1322"/>
      <c r="S91" s="1322"/>
      <c r="T91" s="1319"/>
      <c r="U91" s="1287">
        <v>1</v>
      </c>
    </row>
    <row r="92" spans="1:21" s="1287" customFormat="1" ht="25.5" hidden="1" customHeight="1">
      <c r="A92" s="1348"/>
      <c r="B92" s="1347" t="s">
        <v>1154</v>
      </c>
      <c r="C92" s="1348"/>
      <c r="D92" s="1350"/>
      <c r="E92" s="1350"/>
      <c r="F92" s="1322"/>
      <c r="G92" s="1322"/>
      <c r="H92" s="1322"/>
      <c r="I92" s="1322"/>
      <c r="J92" s="1322"/>
      <c r="K92" s="1322"/>
      <c r="L92" s="1322"/>
      <c r="M92" s="1322">
        <f>HY!H17+HY!H53+HY!H94+HY!H121+HY!H140</f>
        <v>25600</v>
      </c>
      <c r="N92" s="1322"/>
      <c r="O92" s="1351">
        <f>YS!L39+YS!L89+YS!L90</f>
        <v>1571.1</v>
      </c>
      <c r="P92" s="1322"/>
      <c r="Q92" s="1322"/>
      <c r="R92" s="1322"/>
      <c r="S92" s="1322"/>
      <c r="T92" s="1319"/>
      <c r="U92" s="1287">
        <v>2</v>
      </c>
    </row>
    <row r="93" spans="1:21" s="1287" customFormat="1" ht="25.5" hidden="1" customHeight="1">
      <c r="A93" s="1348"/>
      <c r="B93" s="1347" t="s">
        <v>1154</v>
      </c>
      <c r="C93" s="1348"/>
      <c r="D93" s="1350"/>
      <c r="E93" s="1350"/>
      <c r="F93" s="1322"/>
      <c r="G93" s="1322"/>
      <c r="H93" s="1322"/>
      <c r="I93" s="1322">
        <f>'DT GNBV'!N46</f>
        <v>45</v>
      </c>
      <c r="J93" s="1322"/>
      <c r="K93" s="1322">
        <f>CH!M18+CH!L98</f>
        <v>4556.3999999999996</v>
      </c>
      <c r="L93" s="1322"/>
      <c r="M93" s="1322"/>
      <c r="N93" s="1322"/>
      <c r="O93" s="1351">
        <f>YS!K39+YS!K89+YS!K90</f>
        <v>4713.3</v>
      </c>
      <c r="P93" s="1322"/>
      <c r="Q93" s="1322">
        <f>'[58]Biểu 15. Trường học (GIAO DỤC) '!$AE$268+868</f>
        <v>1856</v>
      </c>
      <c r="R93" s="1322"/>
      <c r="S93" s="1322"/>
      <c r="T93" s="1319"/>
      <c r="U93" s="1287">
        <v>2</v>
      </c>
    </row>
    <row r="94" spans="1:21" s="1287" customFormat="1" ht="25.5" hidden="1" customHeight="1">
      <c r="A94" s="1348"/>
      <c r="B94" s="1347" t="s">
        <v>1154</v>
      </c>
      <c r="C94" s="1348"/>
      <c r="D94" s="1350"/>
      <c r="E94" s="1350"/>
      <c r="F94" s="1322"/>
      <c r="G94" s="1322"/>
      <c r="H94" s="1322"/>
      <c r="I94" s="1322"/>
      <c r="J94" s="1322"/>
      <c r="K94" s="1322">
        <f>CH!N18</f>
        <v>3505.6000000000004</v>
      </c>
      <c r="L94" s="1322"/>
      <c r="M94" s="1322"/>
      <c r="N94" s="1322"/>
      <c r="O94" s="1351">
        <f>YS!M39+YS!M90+YS!M89+YS!M76+YS!M60+YS!M61</f>
        <v>5689.6</v>
      </c>
      <c r="P94" s="1322"/>
      <c r="Q94" s="1322"/>
      <c r="R94" s="1322"/>
      <c r="S94" s="1322"/>
      <c r="T94" s="1319"/>
      <c r="U94" s="1287">
        <v>2</v>
      </c>
    </row>
    <row r="95" spans="1:21" s="1287" customFormat="1" ht="25.5" hidden="1" customHeight="1">
      <c r="A95" s="1348"/>
      <c r="B95" s="1347" t="s">
        <v>1037</v>
      </c>
      <c r="C95" s="1348"/>
      <c r="D95" s="1350"/>
      <c r="E95" s="1350"/>
      <c r="F95" s="1322"/>
      <c r="G95" s="1322"/>
      <c r="H95" s="1322"/>
      <c r="I95" s="1322"/>
      <c r="J95" s="1322"/>
      <c r="K95" s="1322"/>
      <c r="L95" s="1322"/>
      <c r="M95" s="1322"/>
      <c r="N95" s="1322"/>
      <c r="O95" s="1351"/>
      <c r="P95" s="1322"/>
      <c r="Q95" s="1322">
        <f>'[58]Biểu 15. Trường học (GIAO DỤC) '!$AD$242+'[58]Biểu 15. Trường học (GIAO DỤC) '!$AD$250+'[58]Biểu 15. Trường học (GIAO DỤC) '!$AD$255+'[58]Biểu 15. Trường học (GIAO DỤC) '!$AD$268+'[58]Biểu 15. Trường học (GIAO DỤC) '!$AD$272+'[58]Biểu 15. Trường học (GIAO DỤC) '!$AD$277+'[58]Biểu 15. Trường học (GIAO DỤC) '!$AD$280</f>
        <v>37475.299999999996</v>
      </c>
      <c r="R95" s="1322"/>
      <c r="S95" s="1322"/>
      <c r="T95" s="1319"/>
      <c r="U95" s="1287">
        <v>1</v>
      </c>
    </row>
    <row r="96" spans="1:21" s="1287" customFormat="1" ht="25.5" hidden="1" customHeight="1">
      <c r="A96" s="1348"/>
      <c r="B96" s="1347" t="s">
        <v>1154</v>
      </c>
      <c r="C96" s="1348"/>
      <c r="D96" s="1350"/>
      <c r="E96" s="1350"/>
      <c r="F96" s="1322"/>
      <c r="G96" s="1322"/>
      <c r="H96" s="1322"/>
      <c r="I96" s="1322">
        <f>NH!X53+NH!X54+NH!X55+NH!X56+NH!X84+NH!X85+NH!X86</f>
        <v>7350</v>
      </c>
      <c r="J96" s="1322"/>
      <c r="K96" s="1322"/>
      <c r="L96" s="1322"/>
      <c r="M96" s="1322"/>
      <c r="N96" s="1322"/>
      <c r="O96" s="1351"/>
      <c r="P96" s="1322"/>
      <c r="Q96" s="1322"/>
      <c r="R96" s="1322"/>
      <c r="S96" s="1322"/>
      <c r="T96" s="1319"/>
      <c r="U96" s="1287">
        <v>2</v>
      </c>
    </row>
    <row r="97" spans="1:21" s="1286" customFormat="1" ht="30" customHeight="1">
      <c r="A97" s="484" t="s">
        <v>70</v>
      </c>
      <c r="B97" s="1317" t="s">
        <v>1052</v>
      </c>
      <c r="C97" s="484" t="s">
        <v>0</v>
      </c>
      <c r="D97" s="1338">
        <f>+F97+H97+J97+L97+N97+P97+R97</f>
        <v>59</v>
      </c>
      <c r="E97" s="1338">
        <f>+G97+I97+K97+M97+O97+Q97+S97</f>
        <v>243508</v>
      </c>
      <c r="F97" s="1319">
        <f>2+1</f>
        <v>3</v>
      </c>
      <c r="G97" s="1319">
        <f>G102+G104+'[59]B6 (DA52023)'!$T$20</f>
        <v>7977</v>
      </c>
      <c r="H97" s="1319">
        <f>NH!D60+NH!D61+NH!D62+NH!D63+NH!D64+NH!D88+2+5+1</f>
        <v>14</v>
      </c>
      <c r="I97" s="1319">
        <f>'[59]B5 (DA42023)'!$V$93+NH!X60+NH!X61+NH!X62+NH!X63+NH!X64+NH!E88+'DT GNBV'!L47+'DT GNBV'!L48+'[59]B6 (DA52023)'!$T$28+'[59]B6 (DA52023)'!$T$29+'[59]B6 (DA52023)'!$T$23+'[59]B6 (DA52023)'!$T$25+'[59]B6 (DA52023)'!$T$26</f>
        <v>49761</v>
      </c>
      <c r="J97" s="1319">
        <f>4+2+1+3+1</f>
        <v>11</v>
      </c>
      <c r="K97" s="1319">
        <f>'[59]B5 (DA42023)'!$W$148+CH!E50+CH!E51+CH!E52+CH!E53+CH!L99+NTM!H117+'[59]B6 (DA52023)'!$T$32+'[59]B6 (DA52023)'!$T$33+'[59]B6 (DA52023)'!$T$35</f>
        <v>40812</v>
      </c>
      <c r="L97" s="1319">
        <f>1+1+1+1+1+2</f>
        <v>7</v>
      </c>
      <c r="M97" s="1319">
        <f>HY!E22+HY!E60-1780+HY!E97+HY!E127-868+HY!E141+'[59]B6 (DA52023)'!$T$44+'[59]B6 (DA52023)'!$T$49</f>
        <v>40789</v>
      </c>
      <c r="N97" s="1319">
        <f>6+2+3</f>
        <v>11</v>
      </c>
      <c r="O97" s="1345">
        <f>O98+O99+O101+O102+O104</f>
        <v>34143</v>
      </c>
      <c r="P97" s="1319">
        <f>1+10</f>
        <v>11</v>
      </c>
      <c r="Q97" s="1319">
        <f>NTM!H228+'[58]Biểu 15. Trường học (GIAO DỤC) '!$G$243+'[58]Biểu 15. Trường học (GIAO DỤC) '!$G$247+'[58]Biểu 15. Trường học (GIAO DỤC) '!$G$251+'[58]Biểu 15. Trường học (GIAO DỤC) '!$G$256+'[58]Biểu 15. Trường học (GIAO DỤC) '!$G$265+'[58]Biểu 15. Trường học (GIAO DỤC) '!$G$269+'[58]Biểu 15. Trường học (GIAO DỤC) '!$G$273+'[58]Biểu 15. Trường học (GIAO DỤC) '!$G$275+'[58]Biểu 15. Trường học (GIAO DỤC) '!$G$278+'[58]Biểu 15. Trường học (GIAO DỤC) '!$G$281</f>
        <v>67975.199999999997</v>
      </c>
      <c r="R97" s="1319">
        <v>2</v>
      </c>
      <c r="S97" s="1319">
        <f>NTM!H231+NTM!H234</f>
        <v>2050.8000000000002</v>
      </c>
      <c r="T97" s="1319"/>
    </row>
    <row r="98" spans="1:21" s="1287" customFormat="1" ht="20.25" hidden="1" customHeight="1">
      <c r="A98" s="1348"/>
      <c r="B98" s="1347" t="s">
        <v>1154</v>
      </c>
      <c r="C98" s="1348"/>
      <c r="D98" s="1350"/>
      <c r="E98" s="1350"/>
      <c r="F98" s="1322"/>
      <c r="G98" s="1322"/>
      <c r="H98" s="1322"/>
      <c r="I98" s="1322"/>
      <c r="J98" s="1322"/>
      <c r="K98" s="1368">
        <f>CH!K50</f>
        <v>12600</v>
      </c>
      <c r="L98" s="1322"/>
      <c r="M98" s="1322">
        <f>HY!H22+HY!E60-1780+HY!H97+HY!H127-868+HY!H141</f>
        <v>35807</v>
      </c>
      <c r="N98" s="1322"/>
      <c r="O98" s="1351">
        <f>YS!L19+YS!L40+YS!L77+YS!K65+YS!L92+YS!L91</f>
        <v>5395.5</v>
      </c>
      <c r="P98" s="1322"/>
      <c r="Q98" s="1322"/>
      <c r="R98" s="1322"/>
      <c r="S98" s="1322"/>
      <c r="T98" s="1319"/>
      <c r="U98" s="1287">
        <v>2</v>
      </c>
    </row>
    <row r="99" spans="1:21" s="1287" customFormat="1" ht="20.25" hidden="1" customHeight="1">
      <c r="A99" s="1348"/>
      <c r="B99" s="1347" t="s">
        <v>867</v>
      </c>
      <c r="C99" s="1348"/>
      <c r="D99" s="1350"/>
      <c r="E99" s="1350"/>
      <c r="F99" s="1322"/>
      <c r="G99" s="1322"/>
      <c r="H99" s="1322"/>
      <c r="I99" s="1322"/>
      <c r="J99" s="1322"/>
      <c r="K99" s="1368">
        <f>NTM!H117</f>
        <v>700</v>
      </c>
      <c r="L99" s="1322"/>
      <c r="M99" s="1322"/>
      <c r="N99" s="1322"/>
      <c r="O99" s="1351">
        <f>NTM!H163+NTM!H171</f>
        <v>1000</v>
      </c>
      <c r="P99" s="1322"/>
      <c r="Q99" s="1322">
        <f>NTM!H228</f>
        <v>1078</v>
      </c>
      <c r="R99" s="1322"/>
      <c r="S99" s="1322">
        <f>NTM!H231+NTM!H234</f>
        <v>2050.8000000000002</v>
      </c>
      <c r="T99" s="1319"/>
      <c r="U99" s="1287">
        <v>1</v>
      </c>
    </row>
    <row r="100" spans="1:21" s="1287" customFormat="1" ht="20.25" hidden="1" customHeight="1">
      <c r="A100" s="1348"/>
      <c r="B100" s="1347" t="s">
        <v>1026</v>
      </c>
      <c r="C100" s="1348"/>
      <c r="D100" s="1350"/>
      <c r="E100" s="1350"/>
      <c r="F100" s="1322"/>
      <c r="G100" s="1322"/>
      <c r="H100" s="1322"/>
      <c r="I100" s="1322">
        <f>'DT GNBV'!M47+'DT GNBV'!M48</f>
        <v>2000</v>
      </c>
      <c r="J100" s="1322"/>
      <c r="K100" s="1368"/>
      <c r="L100" s="1322"/>
      <c r="M100" s="1322"/>
      <c r="N100" s="1322"/>
      <c r="O100" s="1351"/>
      <c r="P100" s="1322"/>
      <c r="Q100" s="1322"/>
      <c r="R100" s="1322"/>
      <c r="S100" s="1322"/>
      <c r="T100" s="1319"/>
      <c r="U100" s="1287">
        <v>1</v>
      </c>
    </row>
    <row r="101" spans="1:21" s="1287" customFormat="1" ht="20.25" hidden="1" customHeight="1">
      <c r="A101" s="1348"/>
      <c r="B101" s="1347" t="s">
        <v>1036</v>
      </c>
      <c r="C101" s="1348"/>
      <c r="D101" s="1350"/>
      <c r="E101" s="1350"/>
      <c r="F101" s="1322"/>
      <c r="G101" s="1322">
        <f>'[59]B6 (DA52023)'!$U$20</f>
        <v>2007</v>
      </c>
      <c r="H101" s="1322"/>
      <c r="I101" s="1322">
        <f>'[59]B5 (DA42023)'!$W$93+'[59]B6 (DA52023)'!$U$23+'[59]B6 (DA52023)'!$U$25+'[59]B6 (DA52023)'!$U$26+'[59]B6 (DA52023)'!$U$28+'[59]B6 (DA52023)'!$U$29</f>
        <v>8601</v>
      </c>
      <c r="J101" s="1322"/>
      <c r="K101" s="1368">
        <f>'[59]B6 (DA52023)'!$U$32+'[59]B6 (DA52023)'!$U$33+'[59]B6 (DA52023)'!$U$35+'[59]B5 (DA42023)'!$W$148</f>
        <v>10665</v>
      </c>
      <c r="L101" s="1322"/>
      <c r="M101" s="1322">
        <f>'[59]B6 (DA52023)'!$U$44+'[59]B6 (DA52023)'!$U$49</f>
        <v>4982</v>
      </c>
      <c r="N101" s="1322"/>
      <c r="O101" s="1351">
        <f>'[59]B6 (DA52023)'!$U$53+'[59]B5 (DA42023)'!$W$268</f>
        <v>4837</v>
      </c>
      <c r="P101" s="1322"/>
      <c r="Q101" s="1322"/>
      <c r="R101" s="1322"/>
      <c r="S101" s="1322"/>
      <c r="T101" s="1319"/>
      <c r="U101" s="1287">
        <v>1</v>
      </c>
    </row>
    <row r="102" spans="1:21" s="1287" customFormat="1" ht="20.25" hidden="1" customHeight="1">
      <c r="A102" s="1348"/>
      <c r="B102" s="1347" t="s">
        <v>1154</v>
      </c>
      <c r="C102" s="1348"/>
      <c r="D102" s="1350">
        <f>+F102+H102+J102+L102+N102+P102+R102</f>
        <v>0</v>
      </c>
      <c r="E102" s="1350">
        <f>+G102+I102+K102+M102+O102+Q102+S102</f>
        <v>15632</v>
      </c>
      <c r="F102" s="1322"/>
      <c r="G102" s="1322">
        <f>LB!E34</f>
        <v>5000</v>
      </c>
      <c r="H102" s="1322"/>
      <c r="I102" s="1322"/>
      <c r="J102" s="1322"/>
      <c r="K102" s="1322"/>
      <c r="L102" s="1322"/>
      <c r="M102" s="1322"/>
      <c r="N102" s="1322"/>
      <c r="O102" s="1322">
        <f>YS!M19+YS!M40+YS!M77+YS!M65+YS!M92+YS!M91</f>
        <v>10632</v>
      </c>
      <c r="P102" s="1322"/>
      <c r="Q102" s="1322"/>
      <c r="R102" s="1322"/>
      <c r="S102" s="1322"/>
      <c r="T102" s="1319"/>
      <c r="U102" s="1287">
        <v>2</v>
      </c>
    </row>
    <row r="103" spans="1:21" s="1287" customFormat="1" ht="20.25" hidden="1" customHeight="1">
      <c r="A103" s="1348"/>
      <c r="B103" s="1347" t="s">
        <v>1154</v>
      </c>
      <c r="C103" s="1348"/>
      <c r="D103" s="1350"/>
      <c r="E103" s="1350"/>
      <c r="F103" s="1322"/>
      <c r="G103" s="1322">
        <f>'[59]B6 (DA52023)'!$V$20</f>
        <v>470</v>
      </c>
      <c r="H103" s="1322"/>
      <c r="I103" s="1322"/>
      <c r="J103" s="1322"/>
      <c r="K103" s="1322">
        <f>'[59]B6 (DA52023)'!$V$33</f>
        <v>3447</v>
      </c>
      <c r="L103" s="1322"/>
      <c r="M103" s="1322"/>
      <c r="N103" s="1322"/>
      <c r="O103" s="1322"/>
      <c r="P103" s="1322"/>
      <c r="Q103" s="1322"/>
      <c r="R103" s="1322"/>
      <c r="S103" s="1322"/>
      <c r="T103" s="1319"/>
      <c r="U103" s="1287">
        <v>2</v>
      </c>
    </row>
    <row r="104" spans="1:21" s="1287" customFormat="1" ht="20.25" hidden="1" customHeight="1">
      <c r="A104" s="1348"/>
      <c r="B104" s="1347" t="s">
        <v>1154</v>
      </c>
      <c r="C104" s="1348"/>
      <c r="D104" s="1350"/>
      <c r="E104" s="1350"/>
      <c r="F104" s="1322"/>
      <c r="G104" s="1322">
        <f>LB!N35</f>
        <v>500</v>
      </c>
      <c r="H104" s="1322"/>
      <c r="I104" s="1322">
        <f>'DT GNBV'!N47+'DT GNBV'!N48</f>
        <v>60</v>
      </c>
      <c r="J104" s="1322"/>
      <c r="K104" s="1322">
        <f>CH!L50+CH!L51+CH!L52+CH!L53+CH!L100+CH!L101</f>
        <v>13400</v>
      </c>
      <c r="L104" s="1322"/>
      <c r="M104" s="1322"/>
      <c r="N104" s="1322"/>
      <c r="O104" s="1322">
        <f>'[59]B6 (DA52023)'!$V$53+YS!K19+YS!K40+YS!K65+YS!K77+358+YS!K92+YS!K91</f>
        <v>12278.5</v>
      </c>
      <c r="P104" s="1322"/>
      <c r="Q104" s="1322"/>
      <c r="R104" s="1322"/>
      <c r="S104" s="1322"/>
      <c r="T104" s="1319"/>
      <c r="U104" s="1287">
        <v>2</v>
      </c>
    </row>
    <row r="105" spans="1:21" s="1287" customFormat="1" ht="20.25" hidden="1" customHeight="1">
      <c r="A105" s="1348"/>
      <c r="B105" s="1347" t="s">
        <v>1037</v>
      </c>
      <c r="C105" s="1348"/>
      <c r="D105" s="1350"/>
      <c r="E105" s="1350"/>
      <c r="F105" s="1322"/>
      <c r="G105" s="1322"/>
      <c r="H105" s="1322"/>
      <c r="I105" s="1322"/>
      <c r="J105" s="1322"/>
      <c r="K105" s="1322"/>
      <c r="L105" s="1322"/>
      <c r="M105" s="1322"/>
      <c r="N105" s="1322"/>
      <c r="O105" s="1322"/>
      <c r="P105" s="1322"/>
      <c r="Q105" s="1322">
        <f>'[58]Biểu 15. Trường học (GIAO DỤC) '!$AD$281+'[58]Biểu 15. Trường học (GIAO DỤC) '!$AD$278+'[58]Biểu 15. Trường học (GIAO DỤC) '!$AD$275+'[58]Biểu 15. Trường học (GIAO DỤC) '!$AD$273+'[58]Biểu 15. Trường học (GIAO DỤC) '!$AD$269+'[58]Biểu 15. Trường học (GIAO DỤC) '!$AD$265+'[58]Biểu 15. Trường học (GIAO DỤC) '!$AD$256+'[58]Biểu 15. Trường học (GIAO DỤC) '!$AD$251+'[58]Biểu 15. Trường học (GIAO DỤC) '!$AD$247+'[58]Biểu 15. Trường học (GIAO DỤC) '!$AD$243</f>
        <v>66897.200000000012</v>
      </c>
      <c r="R105" s="1322"/>
      <c r="S105" s="1322"/>
      <c r="T105" s="1319"/>
      <c r="U105" s="1287">
        <v>1</v>
      </c>
    </row>
    <row r="106" spans="1:21" s="1287" customFormat="1" ht="20.25" hidden="1" customHeight="1">
      <c r="A106" s="1348"/>
      <c r="B106" s="1347" t="s">
        <v>1154</v>
      </c>
      <c r="C106" s="1348"/>
      <c r="D106" s="1350"/>
      <c r="E106" s="1350"/>
      <c r="F106" s="1322"/>
      <c r="G106" s="1322"/>
      <c r="H106" s="1322"/>
      <c r="I106" s="1322">
        <f>NH!X60+NH!X61+NH!X62+NH!X63+NH!X64+NH!X88</f>
        <v>39100</v>
      </c>
      <c r="J106" s="1322"/>
      <c r="K106" s="1322"/>
      <c r="L106" s="1322"/>
      <c r="M106" s="1322"/>
      <c r="N106" s="1322"/>
      <c r="O106" s="1322"/>
      <c r="P106" s="1322"/>
      <c r="Q106" s="1322"/>
      <c r="R106" s="1322"/>
      <c r="S106" s="1322"/>
      <c r="T106" s="1319"/>
      <c r="U106" s="1287">
        <v>2</v>
      </c>
    </row>
    <row r="107" spans="1:21" s="1286" customFormat="1" ht="25.5" customHeight="1">
      <c r="A107" s="484" t="s">
        <v>70</v>
      </c>
      <c r="B107" s="1317" t="s">
        <v>96</v>
      </c>
      <c r="C107" s="484" t="s">
        <v>0</v>
      </c>
      <c r="D107" s="1338">
        <f>+F107+H107+J107+L107+N107+P107+R107</f>
        <v>50</v>
      </c>
      <c r="E107" s="1338">
        <f>+G107+I107+K107+M107+O107+Q107+S107</f>
        <v>221873.005</v>
      </c>
      <c r="F107" s="1319">
        <f>2+1</f>
        <v>3</v>
      </c>
      <c r="G107" s="1319">
        <f>'DT GNBV'!L66+'DT GNBV'!L67+'[59]B6 (DA52023)'!$T$19</f>
        <v>6114</v>
      </c>
      <c r="H107" s="1319">
        <f>1+1</f>
        <v>2</v>
      </c>
      <c r="I107" s="1319">
        <f>'[59]B6 (DA52023)'!$T$24+'[59]B5 (DA42023)'!$V$117</f>
        <v>1692</v>
      </c>
      <c r="J107" s="1319">
        <f>CH!D20+CH!D55+CH!D56+CH!D57+3+1+2+2</f>
        <v>13</v>
      </c>
      <c r="K107" s="1319">
        <f>SUM(K108:K114)</f>
        <v>38049.004999999997</v>
      </c>
      <c r="L107" s="1319">
        <f>2+1+1+1+1+6</f>
        <v>12</v>
      </c>
      <c r="M107" s="1319">
        <f>HY!H25+HY!H28+HY!E64+HY!E100+HY!E124+HY!E142+'[59]B6 (DA52023)'!$T$41+'[59]B6 (DA52023)'!$T$42+'[59]B6 (DA52023)'!$T$43+'[59]B6 (DA52023)'!$T$45+'[59]B6 (DA52023)'!$T$46+'[59]B6 (DA52023)'!$T$48</f>
        <v>58296</v>
      </c>
      <c r="N107" s="1319">
        <f>4+1+3</f>
        <v>8</v>
      </c>
      <c r="O107" s="1345">
        <f>YS!F20+YS!F41+YS!F80+YS!F93+'[59]B6 (DA52023)'!$T$52+'[59]B6 (DA52023)'!$T$54+'[59]B6 (DA52023)'!$T$56+NTM!H48</f>
        <v>34578</v>
      </c>
      <c r="P107" s="1319">
        <f>1+1+10</f>
        <v>12</v>
      </c>
      <c r="Q107" s="1319">
        <f>NTM!H213+'[58]Biểu 15. Trường học (GIAO DỤC) '!$G$239+'[58]Biểu 15. Trường học (GIAO DỤC) '!$G$244+'[58]Biểu 15. Trường học (GIAO DỤC) '!$G$248+'[58]Biểu 15. Trường học (GIAO DỤC) '!$G$252+'[58]Biểu 15. Trường học (GIAO DỤC) '!$G$257+'[58]Biểu 15. Trường học (GIAO DỤC) '!$G$261+'[58]Biểu 15. Trường học (GIAO DỤC) '!$G$266+'[58]Biểu 15. Trường học (GIAO DỤC) '!$G$270+'[58]Biểu 15. Trường học (GIAO DỤC) '!$G$274+'[58]Biểu 15. Trường học (GIAO DỤC) '!$G$278+'[58]Biểu 15. Trường học (GIAO DỤC) '!$G$282</f>
        <v>83144</v>
      </c>
      <c r="R107" s="1319"/>
      <c r="S107" s="1319"/>
      <c r="T107" s="1319"/>
    </row>
    <row r="108" spans="1:21" s="1287" customFormat="1" ht="21.75" hidden="1" customHeight="1">
      <c r="A108" s="1348"/>
      <c r="B108" s="1347" t="s">
        <v>1154</v>
      </c>
      <c r="C108" s="1348"/>
      <c r="D108" s="1350"/>
      <c r="E108" s="1350"/>
      <c r="F108" s="1322"/>
      <c r="G108" s="1322"/>
      <c r="H108" s="1322"/>
      <c r="I108" s="1322"/>
      <c r="J108" s="1322"/>
      <c r="K108" s="1322">
        <f>CH!K106</f>
        <v>1000</v>
      </c>
      <c r="L108" s="1322"/>
      <c r="M108" s="1322">
        <f>HY!H25+HY!H28+HY!H64+HY!H100+HY!H124+HY!H142</f>
        <v>43500</v>
      </c>
      <c r="N108" s="1322"/>
      <c r="O108" s="1351">
        <f>YS!L20+YS!L41+YS!L80+YS!L93</f>
        <v>4102.5</v>
      </c>
      <c r="P108" s="1322"/>
      <c r="Q108" s="1322"/>
      <c r="R108" s="1322"/>
      <c r="S108" s="1322"/>
      <c r="T108" s="1327"/>
      <c r="U108" s="1287">
        <v>2</v>
      </c>
    </row>
    <row r="109" spans="1:21" s="1287" customFormat="1" ht="21.75" hidden="1" customHeight="1">
      <c r="A109" s="1348"/>
      <c r="B109" s="1347" t="s">
        <v>867</v>
      </c>
      <c r="C109" s="1348"/>
      <c r="D109" s="1350"/>
      <c r="E109" s="1350"/>
      <c r="F109" s="1322"/>
      <c r="G109" s="1322"/>
      <c r="H109" s="1322"/>
      <c r="I109" s="1322"/>
      <c r="J109" s="1322"/>
      <c r="K109" s="1322">
        <f>NTM!H107</f>
        <v>135</v>
      </c>
      <c r="L109" s="1322"/>
      <c r="M109" s="1322"/>
      <c r="N109" s="1322"/>
      <c r="O109" s="1351">
        <f>NTM!H166</f>
        <v>300</v>
      </c>
      <c r="P109" s="1322"/>
      <c r="Q109" s="1322">
        <f>NTM!H213</f>
        <v>5389</v>
      </c>
      <c r="R109" s="1322"/>
      <c r="S109" s="1322"/>
      <c r="T109" s="1327"/>
      <c r="U109" s="1287">
        <v>1</v>
      </c>
    </row>
    <row r="110" spans="1:21" s="1287" customFormat="1" ht="21.75" hidden="1" customHeight="1">
      <c r="A110" s="1348"/>
      <c r="B110" s="1347" t="s">
        <v>1026</v>
      </c>
      <c r="C110" s="1348"/>
      <c r="D110" s="1350"/>
      <c r="E110" s="1350"/>
      <c r="F110" s="1322"/>
      <c r="G110" s="1322">
        <f>'DT GNBV'!M66+'DT GNBV'!M67</f>
        <v>3759</v>
      </c>
      <c r="H110" s="1322"/>
      <c r="I110" s="1322"/>
      <c r="J110" s="1322"/>
      <c r="K110" s="1322"/>
      <c r="L110" s="1322"/>
      <c r="M110" s="1322"/>
      <c r="N110" s="1322"/>
      <c r="O110" s="1351"/>
      <c r="P110" s="1322"/>
      <c r="Q110" s="1322"/>
      <c r="R110" s="1322"/>
      <c r="S110" s="1322"/>
      <c r="T110" s="1327"/>
      <c r="U110" s="1287">
        <v>1</v>
      </c>
    </row>
    <row r="111" spans="1:21" s="1287" customFormat="1" ht="21.75" hidden="1" customHeight="1">
      <c r="A111" s="1348"/>
      <c r="B111" s="1347" t="s">
        <v>1036</v>
      </c>
      <c r="C111" s="1348"/>
      <c r="D111" s="1350"/>
      <c r="E111" s="1350"/>
      <c r="F111" s="1322"/>
      <c r="G111" s="1322">
        <f>'[59]B6 (DA52023)'!$U$19</f>
        <v>1900</v>
      </c>
      <c r="H111" s="1322"/>
      <c r="I111" s="1322">
        <f>'[59]B6 (DA52023)'!$U$24+'[59]B5 (DA42023)'!$W$117</f>
        <v>1692</v>
      </c>
      <c r="J111" s="1322"/>
      <c r="K111" s="1322">
        <f>'[59]B6 (DA52023)'!$T$34+'[59]B6 (DA52023)'!$T$37+'[59]B5 (DA42023)'!$W$145+'[59]B5 (DA42023)'!$W$202</f>
        <v>7729</v>
      </c>
      <c r="L111" s="1322"/>
      <c r="M111" s="1322">
        <f>'[59]B6 (DA52023)'!$U$42+'[59]B6 (DA52023)'!$U$43+'[59]B6 (DA52023)'!$U$45+'[59]B6 (DA52023)'!$U$46+'[59]B6 (DA52023)'!$U$48</f>
        <v>11394</v>
      </c>
      <c r="N111" s="1322"/>
      <c r="O111" s="1351">
        <f>'[59]B6 (DA52023)'!$U$52+'[59]B6 (DA52023)'!$U$54+'[59]B6 (DA52023)'!$U$56</f>
        <v>4781</v>
      </c>
      <c r="P111" s="1322"/>
      <c r="Q111" s="1322"/>
      <c r="R111" s="1322"/>
      <c r="S111" s="1322"/>
      <c r="T111" s="1327"/>
      <c r="U111" s="1287">
        <v>1</v>
      </c>
    </row>
    <row r="112" spans="1:21" s="1287" customFormat="1" ht="21.75" hidden="1" customHeight="1">
      <c r="A112" s="1348"/>
      <c r="B112" s="1347" t="s">
        <v>1154</v>
      </c>
      <c r="C112" s="1348"/>
      <c r="D112" s="1350"/>
      <c r="E112" s="1350"/>
      <c r="F112" s="1322"/>
      <c r="G112" s="1322">
        <f>'[59]B6 (DA52023)'!$V$19</f>
        <v>342</v>
      </c>
      <c r="H112" s="1322"/>
      <c r="I112" s="1322"/>
      <c r="J112" s="1322"/>
      <c r="K112" s="1322"/>
      <c r="L112" s="1322"/>
      <c r="M112" s="1347"/>
      <c r="N112" s="1322"/>
      <c r="O112" s="1351">
        <f>'[59]B6 (DA52023)'!$V$52+'[59]B6 (DA52023)'!$V$54+'[59]B6 (DA52023)'!$V$56</f>
        <v>1147</v>
      </c>
      <c r="P112" s="1322"/>
      <c r="Q112" s="1322"/>
      <c r="R112" s="1322"/>
      <c r="S112" s="1322"/>
      <c r="T112" s="1327"/>
      <c r="U112" s="1287">
        <v>2</v>
      </c>
    </row>
    <row r="113" spans="1:21" s="1287" customFormat="1" ht="21.75" hidden="1" customHeight="1">
      <c r="A113" s="1348"/>
      <c r="B113" s="1347" t="s">
        <v>1154</v>
      </c>
      <c r="C113" s="1348" t="s">
        <v>0</v>
      </c>
      <c r="D113" s="1350">
        <f>+F113+H113+J113+L113+N113+P113+R113</f>
        <v>0</v>
      </c>
      <c r="E113" s="1350">
        <f>+G113+I113+K113+M113+O113+Q113+S113</f>
        <v>51993.502999999997</v>
      </c>
      <c r="F113" s="1322"/>
      <c r="G113" s="1322">
        <f>'DT GNBV'!N66+'DT GNBV'!N67</f>
        <v>113</v>
      </c>
      <c r="H113" s="1322"/>
      <c r="I113" s="1322"/>
      <c r="J113" s="1322"/>
      <c r="K113" s="1322">
        <f>CH!M20+CH!L54+CH!L102</f>
        <v>24871.003000000001</v>
      </c>
      <c r="L113" s="1322"/>
      <c r="M113" s="1322">
        <f>'[59]B6 (DA52023)'!$V$41+'[59]B6 (DA52023)'!$V$42+'[59]B6 (DA52023)'!$V$43+'[59]B6 (DA52023)'!$V$46</f>
        <v>3402</v>
      </c>
      <c r="N113" s="1322"/>
      <c r="O113" s="1322">
        <f>YS!K20+YS!K41+YS!K80+YS!K93</f>
        <v>12307.5</v>
      </c>
      <c r="P113" s="1322"/>
      <c r="Q113" s="1322">
        <f>'[58]Biểu 15. Trường học (GIAO DỤC) '!$AE$14</f>
        <v>11300</v>
      </c>
      <c r="R113" s="1322"/>
      <c r="S113" s="1322"/>
      <c r="T113" s="1327"/>
      <c r="U113" s="1287">
        <v>2</v>
      </c>
    </row>
    <row r="114" spans="1:21" s="1287" customFormat="1" ht="21.75" hidden="1" customHeight="1">
      <c r="A114" s="1348"/>
      <c r="B114" s="1347" t="s">
        <v>1154</v>
      </c>
      <c r="C114" s="1348" t="s">
        <v>0</v>
      </c>
      <c r="D114" s="1350">
        <f>+F114+H114+J114+L114+N114+P114+R114</f>
        <v>0</v>
      </c>
      <c r="E114" s="1350">
        <f>+G114+I114+K114+M114+O114+Q114+S114</f>
        <v>16254.002</v>
      </c>
      <c r="F114" s="1322">
        <v>0</v>
      </c>
      <c r="G114" s="1322">
        <v>0</v>
      </c>
      <c r="H114" s="1322">
        <v>0</v>
      </c>
      <c r="I114" s="1322">
        <v>0</v>
      </c>
      <c r="J114" s="1322"/>
      <c r="K114" s="1322">
        <f>CH!Q20</f>
        <v>4314.0020000000004</v>
      </c>
      <c r="L114" s="1322"/>
      <c r="M114" s="1322"/>
      <c r="N114" s="1322"/>
      <c r="O114" s="1322">
        <f>YS!M20+YS!M41+YS!M80+YS!M93</f>
        <v>11940</v>
      </c>
      <c r="P114" s="1322"/>
      <c r="Q114" s="1322"/>
      <c r="R114" s="1322"/>
      <c r="S114" s="1322"/>
      <c r="T114" s="1327"/>
      <c r="U114" s="1287">
        <v>2</v>
      </c>
    </row>
    <row r="115" spans="1:21" s="1287" customFormat="1" ht="21.75" hidden="1" customHeight="1">
      <c r="A115" s="1348"/>
      <c r="B115" s="1347" t="s">
        <v>1037</v>
      </c>
      <c r="C115" s="1348"/>
      <c r="D115" s="1350"/>
      <c r="E115" s="1350"/>
      <c r="F115" s="1322"/>
      <c r="G115" s="1322"/>
      <c r="H115" s="1322"/>
      <c r="I115" s="1322"/>
      <c r="J115" s="1322"/>
      <c r="K115" s="1322"/>
      <c r="L115" s="1322"/>
      <c r="M115" s="1322"/>
      <c r="N115" s="1322"/>
      <c r="O115" s="1322"/>
      <c r="P115" s="1322"/>
      <c r="Q115" s="1322">
        <f>'[58]Biểu 15. Trường học (GIAO DỤC) '!$AD$239+64891</f>
        <v>66455.100000000006</v>
      </c>
      <c r="R115" s="1322"/>
      <c r="S115" s="1322"/>
      <c r="T115" s="1327"/>
      <c r="U115" s="1287">
        <v>1</v>
      </c>
    </row>
    <row r="116" spans="1:21" s="1286" customFormat="1" ht="27.75" customHeight="1">
      <c r="A116" s="484" t="s">
        <v>81</v>
      </c>
      <c r="B116" s="1317" t="s">
        <v>1025</v>
      </c>
      <c r="C116" s="484" t="s">
        <v>0</v>
      </c>
      <c r="D116" s="1338">
        <f>+F116+H116+J116+L116+N116+P116+R116</f>
        <v>5</v>
      </c>
      <c r="E116" s="1338">
        <f>+G116+I116+K116+M116+O116+Q116+S116</f>
        <v>35420.67</v>
      </c>
      <c r="F116" s="1319"/>
      <c r="G116" s="1319"/>
      <c r="H116" s="1319">
        <f>3+2</f>
        <v>5</v>
      </c>
      <c r="I116" s="1319">
        <f>'DT GNBV'!L16+'DT GNBV'!L44+'DT GNBV'!L45</f>
        <v>35420.67</v>
      </c>
      <c r="J116" s="1319"/>
      <c r="K116" s="1319"/>
      <c r="L116" s="1319"/>
      <c r="M116" s="1319"/>
      <c r="N116" s="1319"/>
      <c r="O116" s="1319"/>
      <c r="P116" s="1319"/>
      <c r="Q116" s="1319"/>
      <c r="R116" s="1319"/>
      <c r="S116" s="1319"/>
      <c r="T116" s="1329"/>
    </row>
    <row r="117" spans="1:21" s="1287" customFormat="1" ht="21.75" hidden="1" customHeight="1">
      <c r="A117" s="1348"/>
      <c r="B117" s="1347" t="s">
        <v>1026</v>
      </c>
      <c r="C117" s="1348"/>
      <c r="D117" s="1350"/>
      <c r="E117" s="1350"/>
      <c r="F117" s="1322"/>
      <c r="G117" s="1322"/>
      <c r="H117" s="1322"/>
      <c r="I117" s="1322">
        <f>'DT GNBV'!M16+'DT GNBV'!M44+'DT GNBV'!M45</f>
        <v>34389</v>
      </c>
      <c r="J117" s="1322"/>
      <c r="K117" s="1322"/>
      <c r="L117" s="1322"/>
      <c r="M117" s="1322"/>
      <c r="N117" s="1322"/>
      <c r="O117" s="1322"/>
      <c r="P117" s="1322"/>
      <c r="Q117" s="1322"/>
      <c r="R117" s="1322"/>
      <c r="S117" s="1322"/>
      <c r="T117" s="1327"/>
      <c r="U117" s="1287">
        <v>1</v>
      </c>
    </row>
    <row r="118" spans="1:21" s="1287" customFormat="1" ht="21.75" hidden="1" customHeight="1">
      <c r="A118" s="1348"/>
      <c r="B118" s="1347" t="s">
        <v>1154</v>
      </c>
      <c r="C118" s="1348"/>
      <c r="D118" s="1350"/>
      <c r="E118" s="1350"/>
      <c r="F118" s="1322"/>
      <c r="G118" s="1322"/>
      <c r="H118" s="1322"/>
      <c r="I118" s="1322">
        <f>'DT GNBV'!N16+'DT GNBV'!N44+'DT GNBV'!N45</f>
        <v>1031.67</v>
      </c>
      <c r="J118" s="1322"/>
      <c r="K118" s="1322"/>
      <c r="L118" s="1322"/>
      <c r="M118" s="1322"/>
      <c r="N118" s="1322"/>
      <c r="O118" s="1322"/>
      <c r="P118" s="1322"/>
      <c r="Q118" s="1322"/>
      <c r="R118" s="1322"/>
      <c r="S118" s="1322"/>
      <c r="T118" s="1327"/>
      <c r="U118" s="1287">
        <v>2</v>
      </c>
    </row>
    <row r="119" spans="1:21" s="1286" customFormat="1" ht="26.25" customHeight="1">
      <c r="A119" s="484" t="s">
        <v>81</v>
      </c>
      <c r="B119" s="1317" t="s">
        <v>1038</v>
      </c>
      <c r="C119" s="484" t="s">
        <v>0</v>
      </c>
      <c r="D119" s="1338">
        <f>+F119+H119+J119+L119+N119+P119+R119</f>
        <v>1</v>
      </c>
      <c r="E119" s="1338">
        <f>+G119+I119+K119+M119+O119+Q119+S119</f>
        <v>25000</v>
      </c>
      <c r="F119" s="1319"/>
      <c r="G119" s="1319"/>
      <c r="H119" s="1319"/>
      <c r="I119" s="1319"/>
      <c r="J119" s="1319"/>
      <c r="K119" s="1319"/>
      <c r="L119" s="1319">
        <v>1</v>
      </c>
      <c r="M119" s="1319">
        <f>'TC huyen HY'!F17</f>
        <v>25000</v>
      </c>
      <c r="N119" s="1319"/>
      <c r="O119" s="1319"/>
      <c r="P119" s="1319"/>
      <c r="Q119" s="1319"/>
      <c r="R119" s="1319"/>
      <c r="S119" s="1319"/>
      <c r="T119" s="1329"/>
    </row>
    <row r="120" spans="1:21" s="1287" customFormat="1" ht="21" hidden="1" customHeight="1">
      <c r="A120" s="1348"/>
      <c r="B120" s="1347" t="s">
        <v>867</v>
      </c>
      <c r="C120" s="1348"/>
      <c r="D120" s="1350"/>
      <c r="E120" s="1350"/>
      <c r="F120" s="1322"/>
      <c r="G120" s="1322"/>
      <c r="H120" s="1322"/>
      <c r="I120" s="1322"/>
      <c r="J120" s="1322"/>
      <c r="K120" s="1322"/>
      <c r="L120" s="1322"/>
      <c r="M120" s="1322">
        <v>7025.2</v>
      </c>
      <c r="N120" s="1322"/>
      <c r="O120" s="1322"/>
      <c r="P120" s="1322"/>
      <c r="Q120" s="1322"/>
      <c r="R120" s="1322"/>
      <c r="S120" s="1322"/>
      <c r="T120" s="1319"/>
      <c r="U120" s="1287">
        <v>1</v>
      </c>
    </row>
    <row r="121" spans="1:21" s="1287" customFormat="1" ht="24" hidden="1" customHeight="1">
      <c r="A121" s="1348"/>
      <c r="B121" s="1347" t="s">
        <v>1154</v>
      </c>
      <c r="C121" s="1348"/>
      <c r="D121" s="1350"/>
      <c r="E121" s="1350"/>
      <c r="F121" s="1322"/>
      <c r="G121" s="1322"/>
      <c r="H121" s="1322"/>
      <c r="I121" s="1322"/>
      <c r="J121" s="1322"/>
      <c r="K121" s="1322"/>
      <c r="L121" s="1322"/>
      <c r="M121" s="1322">
        <f>M119-M120</f>
        <v>17974.8</v>
      </c>
      <c r="N121" s="1322"/>
      <c r="O121" s="1322"/>
      <c r="P121" s="1322"/>
      <c r="Q121" s="1322"/>
      <c r="R121" s="1322"/>
      <c r="S121" s="1322"/>
      <c r="T121" s="1319"/>
      <c r="U121" s="1287">
        <v>2</v>
      </c>
    </row>
    <row r="122" spans="1:21" s="1287" customFormat="1" ht="41.25" customHeight="1">
      <c r="A122" s="484" t="s">
        <v>81</v>
      </c>
      <c r="B122" s="1318" t="s">
        <v>1039</v>
      </c>
      <c r="C122" s="484" t="s">
        <v>0</v>
      </c>
      <c r="D122" s="1338">
        <f>+F122+H122+J122+L122+N122+P122+R122</f>
        <v>1</v>
      </c>
      <c r="E122" s="1338">
        <f>+G122+I122+K122+M122+O122+Q122+S122</f>
        <v>17800</v>
      </c>
      <c r="F122" s="1322"/>
      <c r="G122" s="1322"/>
      <c r="H122" s="1322"/>
      <c r="I122" s="1322"/>
      <c r="J122" s="1322"/>
      <c r="K122" s="1322"/>
      <c r="L122" s="1322"/>
      <c r="M122" s="1322"/>
      <c r="N122" s="1322"/>
      <c r="O122" s="1322"/>
      <c r="P122" s="1322">
        <v>1</v>
      </c>
      <c r="Q122" s="1322">
        <f>'[58]Biểu 15. Trường học (GIAO DỤC) '!$G$15</f>
        <v>17800</v>
      </c>
      <c r="R122" s="1322"/>
      <c r="S122" s="1322"/>
      <c r="T122" s="1319"/>
    </row>
    <row r="123" spans="1:21" s="1287" customFormat="1" ht="23.45" hidden="1" customHeight="1">
      <c r="A123" s="1348"/>
      <c r="B123" s="1347" t="s">
        <v>1037</v>
      </c>
      <c r="C123" s="1348"/>
      <c r="D123" s="1350"/>
      <c r="E123" s="1350"/>
      <c r="F123" s="1322"/>
      <c r="G123" s="1322"/>
      <c r="H123" s="1322"/>
      <c r="I123" s="1322"/>
      <c r="J123" s="1322"/>
      <c r="K123" s="1322"/>
      <c r="L123" s="1322"/>
      <c r="M123" s="1322"/>
      <c r="N123" s="1322"/>
      <c r="O123" s="1322"/>
      <c r="P123" s="1322"/>
      <c r="Q123" s="1322">
        <f>'[58]Biểu 15. Trường học (GIAO DỤC) '!$AD$15</f>
        <v>17800</v>
      </c>
      <c r="R123" s="1322"/>
      <c r="S123" s="1322"/>
      <c r="T123" s="1319"/>
      <c r="U123" s="1287">
        <v>1</v>
      </c>
    </row>
    <row r="124" spans="1:21" s="1314" customFormat="1" ht="28.5" customHeight="1">
      <c r="A124" s="1339">
        <v>5</v>
      </c>
      <c r="B124" s="1340" t="s">
        <v>826</v>
      </c>
      <c r="C124" s="1339" t="s">
        <v>65</v>
      </c>
      <c r="D124" s="1338">
        <f>+F124+H124+J124+L124+N124+P124+R124</f>
        <v>0</v>
      </c>
      <c r="E124" s="1338">
        <f>+G124+I124+K124+M124+O124+Q124+S124</f>
        <v>73715.5</v>
      </c>
      <c r="F124" s="1342"/>
      <c r="G124" s="1342">
        <f>G125+G128+G131+G137+G140+G143+G149+G153+G156+G159</f>
        <v>1987.5</v>
      </c>
      <c r="H124" s="1342"/>
      <c r="I124" s="1342">
        <f t="shared" ref="I124:S124" si="15">I125+I128+I131+I137+I140+I143+I149+I153+I156+I159</f>
        <v>806</v>
      </c>
      <c r="J124" s="1342"/>
      <c r="K124" s="1342">
        <f t="shared" si="15"/>
        <v>9781</v>
      </c>
      <c r="L124" s="1342"/>
      <c r="M124" s="1342">
        <f t="shared" si="15"/>
        <v>30785</v>
      </c>
      <c r="N124" s="1342"/>
      <c r="O124" s="1342">
        <f t="shared" si="15"/>
        <v>8465</v>
      </c>
      <c r="P124" s="1342"/>
      <c r="Q124" s="1342">
        <f t="shared" si="15"/>
        <v>21891</v>
      </c>
      <c r="R124" s="1342">
        <f t="shared" si="15"/>
        <v>0</v>
      </c>
      <c r="S124" s="1342">
        <f t="shared" si="15"/>
        <v>0</v>
      </c>
      <c r="T124" s="1319"/>
    </row>
    <row r="125" spans="1:21" s="1286" customFormat="1" ht="24.75" customHeight="1">
      <c r="A125" s="484" t="s">
        <v>70</v>
      </c>
      <c r="B125" s="1317" t="s">
        <v>1238</v>
      </c>
      <c r="C125" s="484" t="s">
        <v>71</v>
      </c>
      <c r="D125" s="1338">
        <f>+F125+H125+J125+L125+N125+P125+R125</f>
        <v>1</v>
      </c>
      <c r="E125" s="1338">
        <f>+G125+I125+K125+M125+O125+Q125+S125</f>
        <v>15000</v>
      </c>
      <c r="F125" s="1319"/>
      <c r="G125" s="1319"/>
      <c r="H125" s="1319"/>
      <c r="I125" s="1319"/>
      <c r="J125" s="1319"/>
      <c r="K125" s="1319"/>
      <c r="L125" s="1319">
        <v>1</v>
      </c>
      <c r="M125" s="1319">
        <f>'TC huyen HY'!F14</f>
        <v>15000</v>
      </c>
      <c r="N125" s="1319"/>
      <c r="O125" s="1319"/>
      <c r="P125" s="1319"/>
      <c r="Q125" s="1319"/>
      <c r="R125" s="1319"/>
      <c r="S125" s="1319"/>
      <c r="T125" s="1319"/>
    </row>
    <row r="126" spans="1:21" s="1287" customFormat="1" ht="21" hidden="1" customHeight="1">
      <c r="A126" s="1348"/>
      <c r="B126" s="1347" t="s">
        <v>867</v>
      </c>
      <c r="C126" s="1348"/>
      <c r="D126" s="1350"/>
      <c r="E126" s="1350"/>
      <c r="F126" s="1322"/>
      <c r="G126" s="1322"/>
      <c r="H126" s="1322"/>
      <c r="I126" s="1322"/>
      <c r="J126" s="1322"/>
      <c r="K126" s="1322"/>
      <c r="L126" s="1322"/>
      <c r="M126" s="1322">
        <v>3000</v>
      </c>
      <c r="N126" s="1322"/>
      <c r="O126" s="1322"/>
      <c r="P126" s="1322"/>
      <c r="Q126" s="1322"/>
      <c r="R126" s="1322"/>
      <c r="S126" s="1322"/>
      <c r="T126" s="1319"/>
      <c r="U126" s="1287">
        <v>1</v>
      </c>
    </row>
    <row r="127" spans="1:21" s="1287" customFormat="1" ht="30.95" hidden="1" customHeight="1">
      <c r="A127" s="1348"/>
      <c r="B127" s="1347" t="s">
        <v>1154</v>
      </c>
      <c r="C127" s="1348"/>
      <c r="D127" s="1350"/>
      <c r="E127" s="1350"/>
      <c r="F127" s="1322"/>
      <c r="G127" s="1322"/>
      <c r="H127" s="1322"/>
      <c r="I127" s="1322"/>
      <c r="J127" s="1322"/>
      <c r="K127" s="1322"/>
      <c r="L127" s="1322"/>
      <c r="M127" s="1322">
        <f>M125-M126</f>
        <v>12000</v>
      </c>
      <c r="N127" s="1322"/>
      <c r="O127" s="1322"/>
      <c r="P127" s="1322"/>
      <c r="Q127" s="1322"/>
      <c r="R127" s="1322"/>
      <c r="S127" s="1322"/>
      <c r="T127" s="1319"/>
      <c r="U127" s="1287">
        <v>2</v>
      </c>
    </row>
    <row r="128" spans="1:21" s="1286" customFormat="1" ht="30" customHeight="1">
      <c r="A128" s="484" t="s">
        <v>70</v>
      </c>
      <c r="B128" s="1317" t="s">
        <v>1239</v>
      </c>
      <c r="C128" s="484" t="s">
        <v>76</v>
      </c>
      <c r="D128" s="1338">
        <f>+F128+H128+J128+L128+N128+P128+R128</f>
        <v>1</v>
      </c>
      <c r="E128" s="1338">
        <f>+G128+I128+K128+M128+O128+Q128+S128</f>
        <v>5000</v>
      </c>
      <c r="F128" s="1319"/>
      <c r="G128" s="1319"/>
      <c r="H128" s="1319"/>
      <c r="I128" s="1319"/>
      <c r="J128" s="1319"/>
      <c r="K128" s="1319"/>
      <c r="L128" s="1319">
        <v>1</v>
      </c>
      <c r="M128" s="1319">
        <f>'TC huyen HY'!F15</f>
        <v>5000</v>
      </c>
      <c r="N128" s="1319"/>
      <c r="O128" s="1319"/>
      <c r="P128" s="1319"/>
      <c r="Q128" s="1319"/>
      <c r="R128" s="1319"/>
      <c r="S128" s="1319"/>
      <c r="T128" s="1319"/>
    </row>
    <row r="129" spans="1:21" s="1287" customFormat="1" ht="21" hidden="1" customHeight="1">
      <c r="A129" s="1348"/>
      <c r="B129" s="1347" t="s">
        <v>867</v>
      </c>
      <c r="C129" s="1348"/>
      <c r="D129" s="1350"/>
      <c r="E129" s="1350"/>
      <c r="F129" s="1322"/>
      <c r="G129" s="1322"/>
      <c r="H129" s="1322"/>
      <c r="I129" s="1322"/>
      <c r="J129" s="1322"/>
      <c r="K129" s="1322"/>
      <c r="L129" s="1322"/>
      <c r="M129" s="1322">
        <v>3000</v>
      </c>
      <c r="N129" s="1322"/>
      <c r="O129" s="1322"/>
      <c r="P129" s="1322"/>
      <c r="Q129" s="1322"/>
      <c r="R129" s="1322"/>
      <c r="S129" s="1322"/>
      <c r="T129" s="1319"/>
      <c r="U129" s="1287">
        <v>1</v>
      </c>
    </row>
    <row r="130" spans="1:21" s="1287" customFormat="1" ht="30.95" hidden="1" customHeight="1">
      <c r="A130" s="1348"/>
      <c r="B130" s="1347" t="s">
        <v>1154</v>
      </c>
      <c r="C130" s="1348"/>
      <c r="D130" s="1350"/>
      <c r="E130" s="1350"/>
      <c r="F130" s="1322"/>
      <c r="G130" s="1322"/>
      <c r="H130" s="1322"/>
      <c r="I130" s="1322"/>
      <c r="J130" s="1322"/>
      <c r="K130" s="1322"/>
      <c r="L130" s="1322"/>
      <c r="M130" s="1322">
        <f>M128-M129</f>
        <v>2000</v>
      </c>
      <c r="N130" s="1322"/>
      <c r="O130" s="1322"/>
      <c r="P130" s="1322"/>
      <c r="Q130" s="1322"/>
      <c r="R130" s="1322"/>
      <c r="S130" s="1322"/>
      <c r="T130" s="1319"/>
      <c r="U130" s="1287">
        <v>2</v>
      </c>
    </row>
    <row r="131" spans="1:21" s="1286" customFormat="1" ht="26.25" customHeight="1">
      <c r="A131" s="484" t="s">
        <v>70</v>
      </c>
      <c r="B131" s="1317" t="s">
        <v>871</v>
      </c>
      <c r="C131" s="484" t="s">
        <v>76</v>
      </c>
      <c r="D131" s="1338">
        <f>+F131+H131+J131+L131+N131+P131+R131</f>
        <v>6</v>
      </c>
      <c r="E131" s="1338">
        <f>+G131+I131+K131+M131+O131+Q131+S131</f>
        <v>8704</v>
      </c>
      <c r="F131" s="1319"/>
      <c r="G131" s="1319"/>
      <c r="H131" s="1319">
        <v>1</v>
      </c>
      <c r="I131" s="1319">
        <f>'[59]B5 (DA42023)'!$W$81</f>
        <v>806</v>
      </c>
      <c r="J131" s="1319">
        <v>1</v>
      </c>
      <c r="K131" s="1319">
        <f>CH!E22</f>
        <v>2000</v>
      </c>
      <c r="L131" s="1319">
        <f>1+1</f>
        <v>2</v>
      </c>
      <c r="M131" s="1319">
        <f>HY!E69+HY!E105-1780</f>
        <v>2220</v>
      </c>
      <c r="N131" s="1319">
        <v>1</v>
      </c>
      <c r="O131" s="1319">
        <f>YS!F22</f>
        <v>2600</v>
      </c>
      <c r="P131" s="1319">
        <v>1</v>
      </c>
      <c r="Q131" s="1319">
        <f>+NTM!H207</f>
        <v>1078</v>
      </c>
      <c r="R131" s="1319"/>
      <c r="S131" s="1319"/>
      <c r="T131" s="1319"/>
    </row>
    <row r="132" spans="1:21" s="1287" customFormat="1" ht="18.600000000000001" hidden="1" customHeight="1">
      <c r="A132" s="1348"/>
      <c r="B132" s="1347" t="s">
        <v>1154</v>
      </c>
      <c r="C132" s="1348"/>
      <c r="D132" s="1350"/>
      <c r="E132" s="1350"/>
      <c r="F132" s="1322"/>
      <c r="G132" s="1322"/>
      <c r="H132" s="1322"/>
      <c r="I132" s="1322"/>
      <c r="J132" s="1322"/>
      <c r="K132" s="1322"/>
      <c r="L132" s="1322"/>
      <c r="M132" s="1322">
        <f>HY!H69+HY!H105-1780</f>
        <v>2220</v>
      </c>
      <c r="N132" s="1322"/>
      <c r="O132" s="1322"/>
      <c r="P132" s="1322"/>
      <c r="Q132" s="1322"/>
      <c r="R132" s="1322"/>
      <c r="S132" s="1322"/>
      <c r="T132" s="1319"/>
      <c r="U132" s="1287">
        <v>2</v>
      </c>
    </row>
    <row r="133" spans="1:21" s="1287" customFormat="1" ht="18.600000000000001" hidden="1" customHeight="1">
      <c r="A133" s="1348"/>
      <c r="B133" s="1347" t="s">
        <v>867</v>
      </c>
      <c r="C133" s="1348"/>
      <c r="D133" s="1350"/>
      <c r="E133" s="1350"/>
      <c r="F133" s="1322"/>
      <c r="G133" s="1322"/>
      <c r="H133" s="1322"/>
      <c r="I133" s="1322"/>
      <c r="J133" s="1322"/>
      <c r="K133" s="1322"/>
      <c r="L133" s="1322"/>
      <c r="M133" s="1322"/>
      <c r="N133" s="1322"/>
      <c r="O133" s="1322"/>
      <c r="P133" s="1322"/>
      <c r="Q133" s="1322">
        <f>NTM!H208</f>
        <v>1078</v>
      </c>
      <c r="R133" s="1322"/>
      <c r="S133" s="1322"/>
      <c r="T133" s="1319"/>
      <c r="U133" s="1287">
        <v>1</v>
      </c>
    </row>
    <row r="134" spans="1:21" s="1287" customFormat="1" ht="18.600000000000001" hidden="1" customHeight="1">
      <c r="A134" s="1348"/>
      <c r="B134" s="1347" t="s">
        <v>1036</v>
      </c>
      <c r="C134" s="1348"/>
      <c r="D134" s="1350"/>
      <c r="E134" s="1350"/>
      <c r="F134" s="1322"/>
      <c r="G134" s="1322"/>
      <c r="H134" s="1322"/>
      <c r="I134" s="1322">
        <f>'[59]B5 (DA42023)'!$W$81</f>
        <v>806</v>
      </c>
      <c r="J134" s="1322"/>
      <c r="K134" s="1322"/>
      <c r="L134" s="1322"/>
      <c r="M134" s="1322"/>
      <c r="N134" s="1322"/>
      <c r="O134" s="1322"/>
      <c r="P134" s="1322"/>
      <c r="Q134" s="1322"/>
      <c r="R134" s="1322"/>
      <c r="S134" s="1322"/>
      <c r="T134" s="1319"/>
      <c r="U134" s="1287">
        <v>1</v>
      </c>
    </row>
    <row r="135" spans="1:21" s="1287" customFormat="1" ht="18.600000000000001" hidden="1" customHeight="1">
      <c r="A135" s="1348"/>
      <c r="B135" s="1347" t="s">
        <v>1154</v>
      </c>
      <c r="C135" s="1348"/>
      <c r="D135" s="1350"/>
      <c r="E135" s="1350"/>
      <c r="F135" s="1322"/>
      <c r="G135" s="1322"/>
      <c r="H135" s="1322"/>
      <c r="I135" s="1322"/>
      <c r="J135" s="1322"/>
      <c r="K135" s="1322">
        <f>CH!M22</f>
        <v>1200</v>
      </c>
      <c r="L135" s="1322"/>
      <c r="M135" s="1322"/>
      <c r="N135" s="1322"/>
      <c r="O135" s="1322">
        <f>YS!K22</f>
        <v>1560</v>
      </c>
      <c r="P135" s="1322"/>
      <c r="Q135" s="1322"/>
      <c r="R135" s="1322"/>
      <c r="S135" s="1322"/>
      <c r="T135" s="1322"/>
      <c r="U135" s="1287">
        <v>2</v>
      </c>
    </row>
    <row r="136" spans="1:21" s="1287" customFormat="1" ht="18.600000000000001" hidden="1" customHeight="1">
      <c r="A136" s="1348"/>
      <c r="B136" s="1347" t="s">
        <v>1154</v>
      </c>
      <c r="C136" s="1348"/>
      <c r="D136" s="1350"/>
      <c r="E136" s="1350"/>
      <c r="F136" s="1322"/>
      <c r="G136" s="1322"/>
      <c r="H136" s="1322"/>
      <c r="I136" s="1322"/>
      <c r="J136" s="1322"/>
      <c r="K136" s="1322">
        <f>CH!N22</f>
        <v>800</v>
      </c>
      <c r="L136" s="1322"/>
      <c r="M136" s="1322"/>
      <c r="N136" s="1322"/>
      <c r="O136" s="1322">
        <f>YS!M22</f>
        <v>1040</v>
      </c>
      <c r="P136" s="1322"/>
      <c r="Q136" s="1322"/>
      <c r="R136" s="1322"/>
      <c r="S136" s="1322"/>
      <c r="T136" s="1322"/>
      <c r="U136" s="1287">
        <v>2</v>
      </c>
    </row>
    <row r="137" spans="1:21" s="1286" customFormat="1" ht="23.45" customHeight="1">
      <c r="A137" s="484" t="s">
        <v>70</v>
      </c>
      <c r="B137" s="1317" t="s">
        <v>703</v>
      </c>
      <c r="C137" s="484" t="s">
        <v>78</v>
      </c>
      <c r="D137" s="1338">
        <f t="shared" ref="D137:E140" si="16">+F137+H137+J137+L137+N137+P137+R137</f>
        <v>6</v>
      </c>
      <c r="E137" s="1338">
        <f t="shared" si="16"/>
        <v>520</v>
      </c>
      <c r="F137" s="1319"/>
      <c r="G137" s="1319"/>
      <c r="H137" s="1319"/>
      <c r="I137" s="1319"/>
      <c r="J137" s="1319">
        <v>1</v>
      </c>
      <c r="K137" s="1319">
        <f>CH!E63</f>
        <v>120</v>
      </c>
      <c r="L137" s="1319"/>
      <c r="M137" s="1319"/>
      <c r="N137" s="1319"/>
      <c r="O137" s="1319"/>
      <c r="P137" s="1319">
        <v>5</v>
      </c>
      <c r="Q137" s="1319">
        <f>'[58]Biểu 16. Cơ sở vật chất VH'!$H$129+'[58]Biểu 16. Cơ sở vật chất VH'!$H$134+'[58]Biểu 16. Cơ sở vật chất VH'!$H$140+'[58]Biểu 16. Cơ sở vật chất VH'!$H$146+'[58]Biểu 16. Cơ sở vật chất VH'!$H$151</f>
        <v>400</v>
      </c>
      <c r="R137" s="1319"/>
      <c r="S137" s="1319"/>
      <c r="T137" s="1319"/>
    </row>
    <row r="138" spans="1:21" s="1287" customFormat="1" ht="18.600000000000001" hidden="1" customHeight="1">
      <c r="A138" s="1348"/>
      <c r="B138" s="1347" t="s">
        <v>1041</v>
      </c>
      <c r="C138" s="1348"/>
      <c r="D138" s="1350"/>
      <c r="E138" s="1350"/>
      <c r="F138" s="1322"/>
      <c r="G138" s="1322"/>
      <c r="H138" s="1322"/>
      <c r="I138" s="1322"/>
      <c r="J138" s="1322"/>
      <c r="K138" s="1322"/>
      <c r="L138" s="1322"/>
      <c r="M138" s="1322"/>
      <c r="N138" s="1322"/>
      <c r="O138" s="1322"/>
      <c r="P138" s="1322"/>
      <c r="Q138" s="1322">
        <f>'[58]Biểu 16. Cơ sở vật chất VH'!$R$129+'[58]Biểu 16. Cơ sở vật chất VH'!$R$134+'[58]Biểu 16. Cơ sở vật chất VH'!$R$140+'[58]Biểu 16. Cơ sở vật chất VH'!$R$146+'[58]Biểu 16. Cơ sở vật chất VH'!$R$151</f>
        <v>400</v>
      </c>
      <c r="R138" s="1322"/>
      <c r="S138" s="1322"/>
      <c r="T138" s="1322"/>
      <c r="U138" s="1287">
        <v>1</v>
      </c>
    </row>
    <row r="139" spans="1:21" s="1287" customFormat="1" ht="18.600000000000001" hidden="1" customHeight="1">
      <c r="A139" s="1348"/>
      <c r="B139" s="1347" t="s">
        <v>1154</v>
      </c>
      <c r="C139" s="1348"/>
      <c r="D139" s="1350">
        <f t="shared" si="16"/>
        <v>0</v>
      </c>
      <c r="E139" s="1350">
        <f t="shared" si="16"/>
        <v>120</v>
      </c>
      <c r="F139" s="1322"/>
      <c r="G139" s="1322"/>
      <c r="H139" s="1322"/>
      <c r="I139" s="1322"/>
      <c r="J139" s="1322"/>
      <c r="K139" s="1322">
        <f>CH!M63</f>
        <v>120</v>
      </c>
      <c r="L139" s="1322"/>
      <c r="M139" s="1322"/>
      <c r="N139" s="1322"/>
      <c r="O139" s="1322"/>
      <c r="P139" s="1322"/>
      <c r="Q139" s="1322"/>
      <c r="R139" s="1322"/>
      <c r="S139" s="1322"/>
      <c r="T139" s="1322"/>
      <c r="U139" s="1287">
        <v>2</v>
      </c>
    </row>
    <row r="140" spans="1:21" s="1286" customFormat="1" ht="27" customHeight="1">
      <c r="A140" s="484" t="s">
        <v>70</v>
      </c>
      <c r="B140" s="1317" t="s">
        <v>1040</v>
      </c>
      <c r="C140" s="484" t="s">
        <v>71</v>
      </c>
      <c r="D140" s="1338">
        <f t="shared" si="16"/>
        <v>8</v>
      </c>
      <c r="E140" s="1338">
        <f t="shared" si="16"/>
        <v>1800</v>
      </c>
      <c r="F140" s="1319"/>
      <c r="G140" s="1319"/>
      <c r="H140" s="1319"/>
      <c r="I140" s="1319"/>
      <c r="J140" s="1319">
        <v>1</v>
      </c>
      <c r="K140" s="1319">
        <f>CH!E61</f>
        <v>200</v>
      </c>
      <c r="L140" s="1319"/>
      <c r="M140" s="1319"/>
      <c r="N140" s="1319">
        <f>1+1</f>
        <v>2</v>
      </c>
      <c r="O140" s="1319">
        <f>YS!F23+YS!F43</f>
        <v>400</v>
      </c>
      <c r="P140" s="1319">
        <v>5</v>
      </c>
      <c r="Q140" s="1319">
        <f>'[58]Biểu 16. Cơ sở vật chất VH'!$AE$162+'[58]Biểu 16. Cơ sở vật chất VH'!$AE$160+'[58]Biểu 16. Cơ sở vật chất VH'!$AE$143+'[58]Biểu 16. Cơ sở vật chất VH'!$AE$137+'[58]Biểu 16. Cơ sở vật chất VH'!$AE$128</f>
        <v>1200</v>
      </c>
      <c r="R140" s="1319"/>
      <c r="S140" s="1319"/>
      <c r="T140" s="1319"/>
    </row>
    <row r="141" spans="1:21" s="1287" customFormat="1" ht="22.5" hidden="1" customHeight="1">
      <c r="A141" s="1348"/>
      <c r="B141" s="1347" t="s">
        <v>1154</v>
      </c>
      <c r="C141" s="1348"/>
      <c r="D141" s="1350"/>
      <c r="E141" s="1350"/>
      <c r="F141" s="1322"/>
      <c r="G141" s="1322"/>
      <c r="H141" s="1322"/>
      <c r="I141" s="1322"/>
      <c r="J141" s="1322"/>
      <c r="K141" s="1322"/>
      <c r="L141" s="1322"/>
      <c r="M141" s="1322"/>
      <c r="N141" s="1322"/>
      <c r="O141" s="1322"/>
      <c r="P141" s="1322"/>
      <c r="Q141" s="1322">
        <f>'[58]Biểu 16. Cơ sở vật chất VH'!$AE$162+'[58]Biểu 16. Cơ sở vật chất VH'!$AE$160+'[58]Biểu 16. Cơ sở vật chất VH'!$AE$143+'[58]Biểu 16. Cơ sở vật chất VH'!$AE$137+'[58]Biểu 16. Cơ sở vật chất VH'!$AE$128</f>
        <v>1200</v>
      </c>
      <c r="R141" s="1322"/>
      <c r="S141" s="1322"/>
      <c r="T141" s="1322"/>
      <c r="U141" s="1287">
        <v>2</v>
      </c>
    </row>
    <row r="142" spans="1:21" s="1287" customFormat="1" ht="26.25" hidden="1" customHeight="1">
      <c r="A142" s="1348"/>
      <c r="B142" s="1347" t="s">
        <v>1154</v>
      </c>
      <c r="C142" s="1348"/>
      <c r="D142" s="1350"/>
      <c r="E142" s="1350"/>
      <c r="F142" s="1322"/>
      <c r="G142" s="1322"/>
      <c r="H142" s="1322"/>
      <c r="I142" s="1322"/>
      <c r="J142" s="1322"/>
      <c r="K142" s="1322">
        <f>CH!M61</f>
        <v>200</v>
      </c>
      <c r="L142" s="1322"/>
      <c r="M142" s="1322"/>
      <c r="N142" s="1322"/>
      <c r="O142" s="1322">
        <v>400</v>
      </c>
      <c r="P142" s="1322"/>
      <c r="Q142" s="1322"/>
      <c r="R142" s="1322"/>
      <c r="S142" s="1322"/>
      <c r="T142" s="1322"/>
      <c r="U142" s="1287">
        <v>2</v>
      </c>
    </row>
    <row r="143" spans="1:21" s="1286" customFormat="1" ht="32.25" customHeight="1">
      <c r="A143" s="484" t="s">
        <v>70</v>
      </c>
      <c r="B143" s="1317" t="s">
        <v>870</v>
      </c>
      <c r="C143" s="484" t="s">
        <v>71</v>
      </c>
      <c r="D143" s="1338">
        <f>+F143+H143+J143+L143+N143+P143+R143</f>
        <v>67</v>
      </c>
      <c r="E143" s="1338">
        <f>+G143+I143+K143+M143+O143+Q143+S143</f>
        <v>28305</v>
      </c>
      <c r="F143" s="1319"/>
      <c r="G143" s="1319"/>
      <c r="H143" s="1319"/>
      <c r="I143" s="1319"/>
      <c r="J143" s="1319">
        <f>CH!D23+CH!D24+CH!D59+CH!D60+1</f>
        <v>13</v>
      </c>
      <c r="K143" s="1319">
        <f>K144+K145+K147</f>
        <v>6021</v>
      </c>
      <c r="L143" s="1319">
        <f>3+1+13</f>
        <v>17</v>
      </c>
      <c r="M143" s="1319">
        <f>HY!E70+HY!E32+2976</f>
        <v>5485</v>
      </c>
      <c r="N143" s="1319">
        <f>3+5+8</f>
        <v>16</v>
      </c>
      <c r="O143" s="1319">
        <f>'[61]B5 (DA42023)'!$W$280+'[61]B5 (DA42023)'!$W$293+'[61]B5 (DA42023)'!$W$298+'[61]B5 (DA42023)'!$W$299+'[61]B5 (DA42023)'!$W$300+'[61]B5 (DA42023)'!$W$301+'[61]B5 (DA42023)'!$W$306+'[61]B5 (DA42023)'!$W$307+'[61]B5 (DA42023)'!$W$317+YS!F44+YS!F45+YS!F24</f>
        <v>5225</v>
      </c>
      <c r="P143" s="1319">
        <f>7+8+6</f>
        <v>21</v>
      </c>
      <c r="Q143" s="1319">
        <f>SUM(Q144:Q147)</f>
        <v>11574</v>
      </c>
      <c r="R143" s="1319"/>
      <c r="S143" s="1319"/>
      <c r="T143" s="1319"/>
    </row>
    <row r="144" spans="1:21" s="1287" customFormat="1" ht="24.6" customHeight="1">
      <c r="A144" s="1348"/>
      <c r="B144" s="1347" t="s">
        <v>1036</v>
      </c>
      <c r="C144" s="1348"/>
      <c r="D144" s="1350"/>
      <c r="E144" s="1350"/>
      <c r="F144" s="1322"/>
      <c r="G144" s="1322"/>
      <c r="H144" s="1322"/>
      <c r="I144" s="1322"/>
      <c r="J144" s="1322"/>
      <c r="K144" s="1322">
        <f>'[61]B5 (DA42023)'!$W$142</f>
        <v>521</v>
      </c>
      <c r="L144" s="1322"/>
      <c r="M144" s="1322">
        <f>HY!I70+HY!I32+2976</f>
        <v>5485</v>
      </c>
      <c r="N144" s="1322"/>
      <c r="O144" s="1322">
        <f>'[61]B5 (DA42023)'!$W$280+'[61]B5 (DA42023)'!$W$293+'[61]B5 (DA42023)'!$W$298+'[61]B5 (DA42023)'!$W$299+'[61]B5 (DA42023)'!$W$300+'[61]B5 (DA42023)'!$W$301+'[61]B5 (DA42023)'!$W$306+'[61]B5 (DA42023)'!$W$307+'[61]B5 (DA42023)'!$W$317</f>
        <v>2125</v>
      </c>
      <c r="P144" s="1322"/>
      <c r="Q144" s="1322">
        <f>'[58]Biểu 16. Cơ sở vật chất VH'!$K$138+'[58]Biểu 16. Cơ sở vật chất VH'!$K$144+'[58]Biểu 16. Cơ sở vật chất VH'!$K$149</f>
        <v>3600</v>
      </c>
      <c r="R144" s="1322"/>
      <c r="S144" s="1322"/>
      <c r="T144" s="1319"/>
      <c r="U144" s="1287">
        <v>1</v>
      </c>
    </row>
    <row r="145" spans="1:21" s="1287" customFormat="1" ht="24.6" customHeight="1">
      <c r="A145" s="1348"/>
      <c r="B145" s="1347" t="s">
        <v>700</v>
      </c>
      <c r="C145" s="1348"/>
      <c r="D145" s="1350"/>
      <c r="E145" s="1350"/>
      <c r="F145" s="1322"/>
      <c r="G145" s="1322"/>
      <c r="H145" s="1322"/>
      <c r="I145" s="1322"/>
      <c r="J145" s="1322"/>
      <c r="K145" s="1322">
        <f>CH!I23+CH!I24+CH!I59+CH!I60</f>
        <v>2850</v>
      </c>
      <c r="L145" s="1322"/>
      <c r="M145" s="1322"/>
      <c r="N145" s="1322"/>
      <c r="O145" s="1322">
        <f>YS!J24+YS!J44+YS!J45</f>
        <v>1950</v>
      </c>
      <c r="P145" s="1322"/>
      <c r="Q145" s="1322">
        <f>'[58]Biểu 16. Cơ sở vật chất VH'!$S$132+'[58]Biểu 16. Cơ sở vật chất VH'!$S$149+'[58]Biểu 16. Cơ sở vật chất VH'!$S$150+'[58]Biểu 16. Cơ sở vật chất VH'!$S$156+'[58]Biểu 16. Cơ sở vật chất VH'!$S$157</f>
        <v>2100</v>
      </c>
      <c r="R145" s="1322"/>
      <c r="S145" s="1322"/>
      <c r="T145" s="1319"/>
      <c r="U145" s="1287">
        <v>1</v>
      </c>
    </row>
    <row r="146" spans="1:21" s="1287" customFormat="1" ht="24.6" customHeight="1">
      <c r="A146" s="1348"/>
      <c r="B146" s="1347" t="s">
        <v>867</v>
      </c>
      <c r="C146" s="1348"/>
      <c r="D146" s="1350"/>
      <c r="E146" s="1350"/>
      <c r="F146" s="1322"/>
      <c r="G146" s="1322"/>
      <c r="H146" s="1322"/>
      <c r="I146" s="1322"/>
      <c r="J146" s="1322"/>
      <c r="K146" s="1322"/>
      <c r="L146" s="1322"/>
      <c r="M146" s="1322"/>
      <c r="N146" s="1322"/>
      <c r="O146" s="1322"/>
      <c r="P146" s="1322"/>
      <c r="Q146" s="1322">
        <f>NTM!H199+NTM!H200+NTM!H211+NTM!H219+NTM!H220+NTM!H221+NTM!H222+NTM!H226</f>
        <v>2324</v>
      </c>
      <c r="R146" s="1322"/>
      <c r="S146" s="1322"/>
      <c r="T146" s="1319"/>
      <c r="U146" s="1287">
        <v>1</v>
      </c>
    </row>
    <row r="147" spans="1:21" s="1287" customFormat="1" ht="24.6" customHeight="1">
      <c r="A147" s="1348"/>
      <c r="B147" s="1347" t="s">
        <v>127</v>
      </c>
      <c r="C147" s="1348"/>
      <c r="D147" s="1350"/>
      <c r="E147" s="1350"/>
      <c r="F147" s="1322"/>
      <c r="G147" s="1322"/>
      <c r="H147" s="1322"/>
      <c r="I147" s="1322"/>
      <c r="J147" s="1322"/>
      <c r="K147" s="1322">
        <f>CH!Y23+CH!Y24+CH!U59+CH!U60</f>
        <v>2650</v>
      </c>
      <c r="L147" s="1322"/>
      <c r="M147" s="1322"/>
      <c r="N147" s="1322"/>
      <c r="O147" s="1322">
        <f>YS!X45+YS!X44+YS!X24</f>
        <v>850</v>
      </c>
      <c r="P147" s="1322"/>
      <c r="Q147" s="1322">
        <f>'[58]Biểu 16. Cơ sở vật chất VH'!$AA$132+'[58]Biểu 16. Cơ sở vật chất VH'!$AA$138+'[58]Biểu 16. Cơ sở vật chất VH'!$AA$149+'[58]Biểu 16. Cơ sở vật chất VH'!$AA$150+'[58]Biểu 16. Cơ sở vật chất VH'!$AA$156+'[58]Biểu 16. Cơ sở vật chất VH'!$AA$157</f>
        <v>3550</v>
      </c>
      <c r="R147" s="1322"/>
      <c r="S147" s="1322"/>
      <c r="T147" s="1319"/>
      <c r="U147" s="1287">
        <v>1</v>
      </c>
    </row>
    <row r="148" spans="1:21" s="1287" customFormat="1" ht="24.6" customHeight="1">
      <c r="A148" s="1348"/>
      <c r="B148" s="1347" t="s">
        <v>1154</v>
      </c>
      <c r="C148" s="1348"/>
      <c r="D148" s="1350"/>
      <c r="E148" s="1350"/>
      <c r="F148" s="1322"/>
      <c r="G148" s="1322"/>
      <c r="H148" s="1322"/>
      <c r="I148" s="1322"/>
      <c r="J148" s="1322"/>
      <c r="K148" s="1322"/>
      <c r="L148" s="1322"/>
      <c r="M148" s="1322"/>
      <c r="N148" s="1322"/>
      <c r="O148" s="1322">
        <v>300</v>
      </c>
      <c r="P148" s="1322"/>
      <c r="Q148" s="1322"/>
      <c r="R148" s="1322"/>
      <c r="S148" s="1322"/>
      <c r="T148" s="1319"/>
    </row>
    <row r="149" spans="1:21" s="1286" customFormat="1" ht="25.5" customHeight="1">
      <c r="A149" s="484" t="s">
        <v>70</v>
      </c>
      <c r="B149" s="1317" t="s">
        <v>686</v>
      </c>
      <c r="C149" s="484" t="s">
        <v>71</v>
      </c>
      <c r="D149" s="1338">
        <f>+F149+H149+J149+L149+N149+P149+R149</f>
        <v>20</v>
      </c>
      <c r="E149" s="1338">
        <f>+G149+I149+K149+M149+O149+Q149+S149</f>
        <v>3440</v>
      </c>
      <c r="F149" s="1319">
        <v>1</v>
      </c>
      <c r="G149" s="1319">
        <f>'[59]B5 (DA42023)'!$V$39</f>
        <v>700</v>
      </c>
      <c r="H149" s="1319"/>
      <c r="I149" s="1319"/>
      <c r="J149" s="1319">
        <f>CH!D25+9</f>
        <v>11</v>
      </c>
      <c r="K149" s="1319">
        <f>CH!E25+CH!E62</f>
        <v>480</v>
      </c>
      <c r="L149" s="1319">
        <f>2+HY!D33</f>
        <v>6</v>
      </c>
      <c r="M149" s="1319">
        <f>HY!E71+HY!E33</f>
        <v>360</v>
      </c>
      <c r="N149" s="1319"/>
      <c r="O149" s="1319"/>
      <c r="P149" s="1319">
        <v>2</v>
      </c>
      <c r="Q149" s="1319">
        <f>'[58]Biểu 16. Cơ sở vật chất VH'!$H$139+'[58]Biểu 16. Cơ sở vật chất VH'!$H$145</f>
        <v>1900</v>
      </c>
      <c r="R149" s="1319"/>
      <c r="S149" s="1319"/>
      <c r="T149" s="1319"/>
    </row>
    <row r="150" spans="1:21" s="1287" customFormat="1" ht="20.25" hidden="1" customHeight="1">
      <c r="A150" s="1348"/>
      <c r="B150" s="1347" t="s">
        <v>1036</v>
      </c>
      <c r="C150" s="1348"/>
      <c r="D150" s="1350"/>
      <c r="E150" s="1350"/>
      <c r="F150" s="1322"/>
      <c r="G150" s="1322">
        <f>'[59]B5 (DA42023)'!$W$39</f>
        <v>700</v>
      </c>
      <c r="H150" s="1322"/>
      <c r="I150" s="1322"/>
      <c r="J150" s="1322"/>
      <c r="K150" s="1322"/>
      <c r="L150" s="1322"/>
      <c r="M150" s="1322"/>
      <c r="N150" s="1322"/>
      <c r="O150" s="1322"/>
      <c r="P150" s="1322"/>
      <c r="Q150" s="1322">
        <f>'[58]Biểu 16. Cơ sở vật chất VH'!$K$139+'[58]Biểu 16. Cơ sở vật chất VH'!$K$145</f>
        <v>1900</v>
      </c>
      <c r="R150" s="1322"/>
      <c r="S150" s="1322"/>
      <c r="T150" s="1322"/>
      <c r="U150" s="1287">
        <v>1</v>
      </c>
    </row>
    <row r="151" spans="1:21" s="1287" customFormat="1" ht="21" hidden="1" customHeight="1">
      <c r="A151" s="1348"/>
      <c r="B151" s="1347" t="s">
        <v>1154</v>
      </c>
      <c r="C151" s="1348"/>
      <c r="D151" s="1350"/>
      <c r="E151" s="1338">
        <f>+G151+I151+K151+M151+O151+Q151+S151</f>
        <v>600</v>
      </c>
      <c r="F151" s="1322"/>
      <c r="G151" s="1322"/>
      <c r="H151" s="1322"/>
      <c r="I151" s="1322"/>
      <c r="J151" s="1322"/>
      <c r="K151" s="1322">
        <f>CH!N25+CH!M62</f>
        <v>420</v>
      </c>
      <c r="L151" s="1322"/>
      <c r="M151" s="1322">
        <f>HY!G71+HY!G33</f>
        <v>180</v>
      </c>
      <c r="N151" s="1322"/>
      <c r="O151" s="1322"/>
      <c r="P151" s="1322"/>
      <c r="Q151" s="1322"/>
      <c r="R151" s="1322"/>
      <c r="S151" s="1322"/>
      <c r="T151" s="1319"/>
      <c r="U151" s="1287">
        <v>2</v>
      </c>
    </row>
    <row r="152" spans="1:21" s="1287" customFormat="1" ht="21" hidden="1" customHeight="1">
      <c r="A152" s="1348"/>
      <c r="B152" s="1347" t="s">
        <v>127</v>
      </c>
      <c r="C152" s="1348"/>
      <c r="D152" s="1350"/>
      <c r="E152" s="1338">
        <f>+G152+I152+K152+M152+O152+Q152+S152</f>
        <v>240</v>
      </c>
      <c r="F152" s="1322"/>
      <c r="G152" s="1322"/>
      <c r="H152" s="1322"/>
      <c r="I152" s="1322"/>
      <c r="J152" s="1322"/>
      <c r="K152" s="1322">
        <f>CH!Y25</f>
        <v>60</v>
      </c>
      <c r="L152" s="1322"/>
      <c r="M152" s="1322">
        <f>HY!L71+HY!L33</f>
        <v>180</v>
      </c>
      <c r="N152" s="1322"/>
      <c r="O152" s="1322"/>
      <c r="P152" s="1322"/>
      <c r="Q152" s="1322"/>
      <c r="R152" s="1322"/>
      <c r="S152" s="1322"/>
      <c r="T152" s="1319"/>
      <c r="U152" s="1287">
        <v>1</v>
      </c>
    </row>
    <row r="153" spans="1:21" s="1286" customFormat="1" ht="25.5" customHeight="1">
      <c r="A153" s="484" t="s">
        <v>70</v>
      </c>
      <c r="B153" s="1317" t="s">
        <v>24</v>
      </c>
      <c r="C153" s="484" t="s">
        <v>432</v>
      </c>
      <c r="D153" s="1338">
        <f>+F153+H153+J153+L153+N153+P153+R153</f>
        <v>85</v>
      </c>
      <c r="E153" s="1338">
        <f>+G153+I153+K153+M153+O153+Q153+S153</f>
        <v>6750</v>
      </c>
      <c r="F153" s="1319"/>
      <c r="G153" s="1319"/>
      <c r="H153" s="1319"/>
      <c r="I153" s="1319"/>
      <c r="J153" s="1319">
        <f>CH!D26</f>
        <v>16</v>
      </c>
      <c r="K153" s="1319">
        <f>CH!E26</f>
        <v>640</v>
      </c>
      <c r="L153" s="1319">
        <f>HY!D72+HY!D106+HY!D34</f>
        <v>58</v>
      </c>
      <c r="M153" s="1319">
        <f>HY!E72+HY!E106+HY!F34</f>
        <v>2320</v>
      </c>
      <c r="N153" s="1319">
        <v>6</v>
      </c>
      <c r="O153" s="1319">
        <f>YS!F46</f>
        <v>240</v>
      </c>
      <c r="P153" s="1319">
        <v>5</v>
      </c>
      <c r="Q153" s="1319">
        <f>'[58]Biểu 16. Cơ sở vật chất VH'!$H$130+'[58]Biểu 16. Cơ sở vật chất VH'!$H$135+'[58]Biểu 16. Cơ sở vật chất VH'!$H$141+'[58]Biểu 16. Cơ sở vật chất VH'!$H$147+'[58]Biểu 16. Cơ sở vật chất VH'!$H$152</f>
        <v>3550</v>
      </c>
      <c r="R153" s="1319"/>
      <c r="S153" s="1319"/>
      <c r="T153" s="1319"/>
    </row>
    <row r="154" spans="1:21" s="1287" customFormat="1" ht="25.5" hidden="1" customHeight="1">
      <c r="A154" s="1348"/>
      <c r="B154" s="1347" t="s">
        <v>1041</v>
      </c>
      <c r="C154" s="1348"/>
      <c r="D154" s="1350"/>
      <c r="E154" s="1350"/>
      <c r="F154" s="1322"/>
      <c r="G154" s="1322"/>
      <c r="H154" s="1322"/>
      <c r="I154" s="1322"/>
      <c r="J154" s="1322"/>
      <c r="K154" s="1322"/>
      <c r="L154" s="1322"/>
      <c r="M154" s="1322"/>
      <c r="N154" s="1322"/>
      <c r="O154" s="1322"/>
      <c r="P154" s="1322"/>
      <c r="Q154" s="1322">
        <f>Q153</f>
        <v>3550</v>
      </c>
      <c r="R154" s="1322"/>
      <c r="S154" s="1322"/>
      <c r="T154" s="1322"/>
      <c r="U154" s="1287">
        <v>1</v>
      </c>
    </row>
    <row r="155" spans="1:21" s="1287" customFormat="1" ht="25.5" hidden="1" customHeight="1">
      <c r="A155" s="1348"/>
      <c r="B155" s="1347" t="s">
        <v>1154</v>
      </c>
      <c r="C155" s="1348"/>
      <c r="D155" s="1350"/>
      <c r="E155" s="1350"/>
      <c r="F155" s="1322"/>
      <c r="G155" s="1322"/>
      <c r="H155" s="1322"/>
      <c r="I155" s="1322"/>
      <c r="J155" s="1322"/>
      <c r="K155" s="1322">
        <f>CH!N26</f>
        <v>640</v>
      </c>
      <c r="L155" s="1322"/>
      <c r="M155" s="1322">
        <f>HY!G72+HY!G106+HY!G34</f>
        <v>2320</v>
      </c>
      <c r="N155" s="1322"/>
      <c r="O155" s="1322">
        <v>240</v>
      </c>
      <c r="P155" s="1322"/>
      <c r="Q155" s="1322"/>
      <c r="R155" s="1322"/>
      <c r="S155" s="1322"/>
      <c r="T155" s="1319"/>
      <c r="U155" s="1287">
        <v>2</v>
      </c>
    </row>
    <row r="156" spans="1:21" s="1286" customFormat="1" ht="41.25" customHeight="1">
      <c r="A156" s="484" t="s">
        <v>70</v>
      </c>
      <c r="B156" s="449" t="s">
        <v>869</v>
      </c>
      <c r="C156" s="484" t="s">
        <v>428</v>
      </c>
      <c r="D156" s="1338">
        <f>+F156+H156+J156+L156+N156+P156+R156</f>
        <v>9</v>
      </c>
      <c r="E156" s="1338">
        <f>+G156+I156+K156+M156+O156+Q156+S156</f>
        <v>2909</v>
      </c>
      <c r="F156" s="1319"/>
      <c r="G156" s="1319"/>
      <c r="H156" s="1319"/>
      <c r="I156" s="1319"/>
      <c r="J156" s="1319">
        <f>CH!D92</f>
        <v>8</v>
      </c>
      <c r="K156" s="1319">
        <f>CH!E92</f>
        <v>320</v>
      </c>
      <c r="L156" s="1319"/>
      <c r="M156" s="1319">
        <f>+M157+M158</f>
        <v>400</v>
      </c>
      <c r="N156" s="1319"/>
      <c r="O156" s="1319"/>
      <c r="P156" s="1319">
        <v>1</v>
      </c>
      <c r="Q156" s="1319">
        <f>NTM!H223</f>
        <v>2189</v>
      </c>
      <c r="R156" s="1319"/>
      <c r="S156" s="1319"/>
      <c r="T156" s="1319"/>
    </row>
    <row r="157" spans="1:21" s="1287" customFormat="1" ht="21" hidden="1" customHeight="1">
      <c r="A157" s="1348"/>
      <c r="B157" s="474" t="s">
        <v>867</v>
      </c>
      <c r="C157" s="1348"/>
      <c r="D157" s="1350"/>
      <c r="E157" s="1350"/>
      <c r="F157" s="1319"/>
      <c r="G157" s="1319"/>
      <c r="H157" s="1319"/>
      <c r="I157" s="1322"/>
      <c r="J157" s="1322"/>
      <c r="K157" s="1322"/>
      <c r="L157" s="1322"/>
      <c r="M157" s="1322"/>
      <c r="N157" s="1322"/>
      <c r="O157" s="1322"/>
      <c r="P157" s="1322"/>
      <c r="Q157" s="1322">
        <f>NTM!H223</f>
        <v>2189</v>
      </c>
      <c r="R157" s="1322"/>
      <c r="S157" s="1322"/>
      <c r="T157" s="1322"/>
      <c r="U157" s="1287">
        <v>1</v>
      </c>
    </row>
    <row r="158" spans="1:21" s="1287" customFormat="1" ht="21" hidden="1" customHeight="1">
      <c r="A158" s="1348"/>
      <c r="B158" s="1347" t="s">
        <v>1154</v>
      </c>
      <c r="C158" s="1348"/>
      <c r="D158" s="1350"/>
      <c r="E158" s="1338">
        <f>+G158+I158+K158+M158+O158+Q158+S158</f>
        <v>720</v>
      </c>
      <c r="F158" s="1319"/>
      <c r="G158" s="1319"/>
      <c r="H158" s="1319"/>
      <c r="I158" s="1322"/>
      <c r="J158" s="1322"/>
      <c r="K158" s="1322">
        <f>CH!M92</f>
        <v>320</v>
      </c>
      <c r="L158" s="1322"/>
      <c r="M158" s="1322">
        <f>HY!G76+HY!G38</f>
        <v>400</v>
      </c>
      <c r="N158" s="1322"/>
      <c r="O158" s="1322"/>
      <c r="P158" s="1322"/>
      <c r="Q158" s="1322"/>
      <c r="R158" s="1322"/>
      <c r="S158" s="1322"/>
      <c r="T158" s="1319"/>
      <c r="U158" s="1287">
        <v>2</v>
      </c>
    </row>
    <row r="159" spans="1:21" s="1287" customFormat="1" ht="28.5" customHeight="1">
      <c r="A159" s="484" t="s">
        <v>70</v>
      </c>
      <c r="B159" s="449" t="s">
        <v>1029</v>
      </c>
      <c r="C159" s="484" t="s">
        <v>71</v>
      </c>
      <c r="D159" s="1338">
        <f>+F159+H159+J159+L159+N159+P159+R159</f>
        <v>1</v>
      </c>
      <c r="E159" s="1338">
        <f>+G159+I159+K159+M159+O159+Q159+S159</f>
        <v>1287.5</v>
      </c>
      <c r="F159" s="1319">
        <v>1</v>
      </c>
      <c r="G159" s="1319">
        <f>'DT GNBV'!L71</f>
        <v>1287.5</v>
      </c>
      <c r="H159" s="1319"/>
      <c r="I159" s="1322"/>
      <c r="J159" s="1322"/>
      <c r="K159" s="1322"/>
      <c r="L159" s="1322"/>
      <c r="M159" s="1322"/>
      <c r="N159" s="1322"/>
      <c r="O159" s="1322"/>
      <c r="P159" s="1322"/>
      <c r="Q159" s="1322"/>
      <c r="R159" s="1322"/>
      <c r="S159" s="1322"/>
      <c r="T159" s="1319"/>
    </row>
    <row r="160" spans="1:21" s="1287" customFormat="1" ht="21" hidden="1" customHeight="1">
      <c r="A160" s="1348"/>
      <c r="B160" s="1347" t="s">
        <v>1026</v>
      </c>
      <c r="C160" s="1348"/>
      <c r="D160" s="1350"/>
      <c r="E160" s="1338"/>
      <c r="F160" s="1322"/>
      <c r="G160" s="1322">
        <f>'DT GNBV'!M71</f>
        <v>1250</v>
      </c>
      <c r="H160" s="1322"/>
      <c r="I160" s="1322"/>
      <c r="J160" s="1322"/>
      <c r="K160" s="1322"/>
      <c r="L160" s="1322"/>
      <c r="M160" s="1322"/>
      <c r="N160" s="1322"/>
      <c r="O160" s="1322"/>
      <c r="P160" s="1322"/>
      <c r="Q160" s="1322"/>
      <c r="R160" s="1322"/>
      <c r="S160" s="1322"/>
      <c r="T160" s="1319"/>
      <c r="U160" s="1287">
        <v>1</v>
      </c>
    </row>
    <row r="161" spans="1:21" s="1287" customFormat="1" ht="21" hidden="1" customHeight="1">
      <c r="A161" s="1348"/>
      <c r="B161" s="1347" t="s">
        <v>1154</v>
      </c>
      <c r="C161" s="1348"/>
      <c r="D161" s="1350"/>
      <c r="E161" s="1338"/>
      <c r="F161" s="1322"/>
      <c r="G161" s="1322">
        <f>'DT GNBV'!N71</f>
        <v>37.5</v>
      </c>
      <c r="H161" s="1322"/>
      <c r="I161" s="1322"/>
      <c r="J161" s="1322"/>
      <c r="K161" s="1322"/>
      <c r="L161" s="1322"/>
      <c r="M161" s="1322"/>
      <c r="N161" s="1322"/>
      <c r="O161" s="1322"/>
      <c r="P161" s="1322"/>
      <c r="Q161" s="1322"/>
      <c r="R161" s="1322"/>
      <c r="S161" s="1322"/>
      <c r="T161" s="1319"/>
      <c r="U161" s="1287">
        <v>2</v>
      </c>
    </row>
    <row r="162" spans="1:21" s="1314" customFormat="1" ht="25.5" customHeight="1">
      <c r="A162" s="1339">
        <v>6</v>
      </c>
      <c r="B162" s="1340" t="s">
        <v>433</v>
      </c>
      <c r="C162" s="1339" t="s">
        <v>65</v>
      </c>
      <c r="D162" s="1338">
        <f t="shared" ref="D162:E164" si="17">+F162+H162+J162+L162+N162+P162+R162</f>
        <v>0</v>
      </c>
      <c r="E162" s="1338">
        <f t="shared" si="17"/>
        <v>35149</v>
      </c>
      <c r="F162" s="1342"/>
      <c r="G162" s="1342">
        <f>G163+G164</f>
        <v>6900</v>
      </c>
      <c r="H162" s="1342"/>
      <c r="I162" s="1342">
        <f t="shared" ref="I162:S162" si="18">I163+I164</f>
        <v>5849</v>
      </c>
      <c r="J162" s="1342"/>
      <c r="K162" s="1342">
        <f t="shared" si="18"/>
        <v>3900</v>
      </c>
      <c r="L162" s="1342"/>
      <c r="M162" s="1342">
        <f t="shared" si="18"/>
        <v>2900</v>
      </c>
      <c r="N162" s="1342"/>
      <c r="O162" s="1342">
        <f t="shared" si="18"/>
        <v>4000</v>
      </c>
      <c r="P162" s="1342"/>
      <c r="Q162" s="1342">
        <f t="shared" si="18"/>
        <v>11600</v>
      </c>
      <c r="R162" s="1342">
        <f t="shared" si="18"/>
        <v>0</v>
      </c>
      <c r="S162" s="1342">
        <f t="shared" si="18"/>
        <v>0</v>
      </c>
      <c r="T162" s="1319"/>
    </row>
    <row r="163" spans="1:21" s="1286" customFormat="1" ht="28.5" customHeight="1">
      <c r="A163" s="484" t="s">
        <v>81</v>
      </c>
      <c r="B163" s="1317" t="s">
        <v>1220</v>
      </c>
      <c r="C163" s="484" t="s">
        <v>71</v>
      </c>
      <c r="D163" s="1338">
        <f t="shared" si="17"/>
        <v>1</v>
      </c>
      <c r="E163" s="1338">
        <f t="shared" si="17"/>
        <v>1500</v>
      </c>
      <c r="F163" s="1319"/>
      <c r="G163" s="1319"/>
      <c r="H163" s="1319"/>
      <c r="I163" s="1319"/>
      <c r="J163" s="1319"/>
      <c r="K163" s="1319"/>
      <c r="L163" s="1319">
        <v>1</v>
      </c>
      <c r="M163" s="1319">
        <f>'TC huyen HY'!F19</f>
        <v>1500</v>
      </c>
      <c r="N163" s="1319"/>
      <c r="O163" s="1319"/>
      <c r="P163" s="1319"/>
      <c r="Q163" s="1319"/>
      <c r="R163" s="1319"/>
      <c r="S163" s="1319"/>
      <c r="T163" s="496"/>
      <c r="U163" s="1286">
        <v>1</v>
      </c>
    </row>
    <row r="164" spans="1:21" s="1286" customFormat="1" ht="22.5" customHeight="1">
      <c r="A164" s="484" t="s">
        <v>70</v>
      </c>
      <c r="B164" s="1317" t="s">
        <v>696</v>
      </c>
      <c r="C164" s="484" t="s">
        <v>71</v>
      </c>
      <c r="D164" s="1338">
        <f t="shared" si="17"/>
        <v>23</v>
      </c>
      <c r="E164" s="1338">
        <f t="shared" si="17"/>
        <v>33649</v>
      </c>
      <c r="F164" s="1319">
        <f>LB!D41+4</f>
        <v>5</v>
      </c>
      <c r="G164" s="1319">
        <f>G168+'[59]B5 (DA42023)'!$V$56+'[59]B5 (DA42023)'!$V$57+'[59]B5 (DA42023)'!$V$66+'[59]B5 (DA42023)'!$V$67</f>
        <v>6900</v>
      </c>
      <c r="H164" s="1319">
        <f>1+2</f>
        <v>3</v>
      </c>
      <c r="I164" s="1319">
        <f>NH!E89+'[59]B5 (DA42023)'!$V$113+'[59]B5 (DA42023)'!$V$115</f>
        <v>5849</v>
      </c>
      <c r="J164" s="1319">
        <v>2</v>
      </c>
      <c r="K164" s="1319">
        <f>'[59]B5 (DA42023)'!$V$189+'[59]B5 (DA42023)'!$V$190</f>
        <v>3900</v>
      </c>
      <c r="L164" s="1319">
        <v>2</v>
      </c>
      <c r="M164" s="1319">
        <f>HY!E131+HY!E148</f>
        <v>1400</v>
      </c>
      <c r="N164" s="1319">
        <v>1</v>
      </c>
      <c r="O164" s="1319">
        <f>'[59]B5 (DA42023)'!$W$345</f>
        <v>4000</v>
      </c>
      <c r="P164" s="1319">
        <v>10</v>
      </c>
      <c r="Q164" s="1319">
        <f>'[58] Biểu 17. Chợ NT (Kinh tế HT)'!$G$70+'[58] Biểu 17. Chợ NT (Kinh tế HT)'!$G$72+'[58] Biểu 17. Chợ NT (Kinh tế HT)'!$G$75+'[58] Biểu 17. Chợ NT (Kinh tế HT)'!$G$77+'[58] Biểu 17. Chợ NT (Kinh tế HT)'!$G$79+'[58] Biểu 17. Chợ NT (Kinh tế HT)'!$G$81+'[58] Biểu 17. Chợ NT (Kinh tế HT)'!$G$83+'[58] Biểu 17. Chợ NT (Kinh tế HT)'!$G$86+'[58] Biểu 17. Chợ NT (Kinh tế HT)'!$G$88+'[58] Biểu 17. Chợ NT (Kinh tế HT)'!$G$90</f>
        <v>11600</v>
      </c>
      <c r="R164" s="1319"/>
      <c r="S164" s="1319">
        <f>+R164*1000</f>
        <v>0</v>
      </c>
      <c r="T164" s="1319"/>
    </row>
    <row r="165" spans="1:21" s="1287" customFormat="1" ht="18.75" hidden="1" customHeight="1">
      <c r="A165" s="1348"/>
      <c r="B165" s="1347" t="s">
        <v>1154</v>
      </c>
      <c r="C165" s="1348"/>
      <c r="D165" s="1350"/>
      <c r="E165" s="1350"/>
      <c r="F165" s="1322"/>
      <c r="G165" s="1322"/>
      <c r="H165" s="1322"/>
      <c r="I165" s="1322"/>
      <c r="J165" s="1322"/>
      <c r="K165" s="1322"/>
      <c r="L165" s="1322"/>
      <c r="M165" s="1322">
        <f>HY!H131+HY!H148</f>
        <v>1400</v>
      </c>
      <c r="N165" s="1322"/>
      <c r="O165" s="1322"/>
      <c r="P165" s="1322"/>
      <c r="Q165" s="1322"/>
      <c r="R165" s="1322"/>
      <c r="S165" s="1322"/>
      <c r="T165" s="1319"/>
      <c r="U165" s="1287">
        <v>2</v>
      </c>
    </row>
    <row r="166" spans="1:21" s="1287" customFormat="1" ht="18.75" hidden="1" customHeight="1">
      <c r="A166" s="1348"/>
      <c r="B166" s="1347" t="s">
        <v>1036</v>
      </c>
      <c r="C166" s="1348"/>
      <c r="D166" s="1350"/>
      <c r="E166" s="1350"/>
      <c r="F166" s="1322"/>
      <c r="G166" s="1322">
        <f>'[59]B5 (DA42023)'!$W$56+'[59]B5 (DA42023)'!$W$57+'[59]B5 (DA42023)'!$W$66+'[59]B5 (DA42023)'!$W$67</f>
        <v>3900</v>
      </c>
      <c r="H166" s="1322"/>
      <c r="I166" s="1322">
        <f>'[59]B5 (DA42023)'!$W$113+'[59]B5 (DA42023)'!$W$115</f>
        <v>3799</v>
      </c>
      <c r="J166" s="1322"/>
      <c r="K166" s="1322">
        <f>'[59]B5 (DA42023)'!$W$189+'[59]B5 (DA42023)'!$W$190</f>
        <v>3900</v>
      </c>
      <c r="L166" s="1322"/>
      <c r="M166" s="1322"/>
      <c r="N166" s="1322"/>
      <c r="O166" s="1322">
        <f>'[59]B5 (DA42023)'!$W$345</f>
        <v>4000</v>
      </c>
      <c r="P166" s="1322"/>
      <c r="Q166" s="1322">
        <f>'[58] Biểu 17. Chợ NT (Kinh tế HT)'!$K$79+'[58] Biểu 17. Chợ NT (Kinh tế HT)'!$K$81</f>
        <v>5200</v>
      </c>
      <c r="R166" s="1322"/>
      <c r="S166" s="1322"/>
      <c r="T166" s="1319"/>
      <c r="U166" s="1287">
        <v>1</v>
      </c>
    </row>
    <row r="167" spans="1:21" s="1287" customFormat="1" ht="18.75" hidden="1" customHeight="1">
      <c r="A167" s="1348"/>
      <c r="B167" s="1347" t="s">
        <v>518</v>
      </c>
      <c r="C167" s="1348"/>
      <c r="D167" s="1350"/>
      <c r="E167" s="1350"/>
      <c r="F167" s="1322"/>
      <c r="G167" s="1322"/>
      <c r="H167" s="1322"/>
      <c r="I167" s="1322"/>
      <c r="J167" s="1322"/>
      <c r="K167" s="1322"/>
      <c r="L167" s="1322"/>
      <c r="M167" s="1322"/>
      <c r="N167" s="1322"/>
      <c r="O167" s="1322"/>
      <c r="P167" s="1322"/>
      <c r="Q167" s="1322">
        <f>'[58] Biểu 17. Chợ NT (Kinh tế HT)'!$Z$90+'[58] Biểu 17. Chợ NT (Kinh tế HT)'!$Z$70+'[58] Biểu 17. Chợ NT (Kinh tế HT)'!$Z$72+'[58] Biểu 17. Chợ NT (Kinh tế HT)'!$Z$75+'[58] Biểu 17. Chợ NT (Kinh tế HT)'!$Z$83+'[58] Biểu 17. Chợ NT (Kinh tế HT)'!$Z$86+'[58] Biểu 17. Chợ NT (Kinh tế HT)'!$Z$88+'[58] Biểu 17. Chợ NT (Kinh tế HT)'!$Z$90</f>
        <v>6400</v>
      </c>
      <c r="R167" s="1322"/>
      <c r="S167" s="1322"/>
      <c r="T167" s="1319"/>
      <c r="U167" s="1287">
        <v>1</v>
      </c>
    </row>
    <row r="168" spans="1:21" s="1287" customFormat="1" ht="18.75" hidden="1" customHeight="1">
      <c r="A168" s="1348"/>
      <c r="B168" s="1347" t="s">
        <v>1154</v>
      </c>
      <c r="C168" s="1348"/>
      <c r="D168" s="1350"/>
      <c r="E168" s="1350"/>
      <c r="F168" s="1322"/>
      <c r="G168" s="1322">
        <f>LB!L41</f>
        <v>3000</v>
      </c>
      <c r="H168" s="1322"/>
      <c r="I168" s="1322"/>
      <c r="J168" s="1322"/>
      <c r="K168" s="1322"/>
      <c r="L168" s="1322"/>
      <c r="M168" s="1322"/>
      <c r="N168" s="1322"/>
      <c r="O168" s="1322"/>
      <c r="P168" s="1322"/>
      <c r="Q168" s="1322"/>
      <c r="R168" s="1322"/>
      <c r="S168" s="1322"/>
      <c r="T168" s="1319"/>
      <c r="U168" s="1287">
        <v>2</v>
      </c>
    </row>
    <row r="169" spans="1:21" s="1287" customFormat="1" ht="18.75" hidden="1" customHeight="1">
      <c r="A169" s="1348"/>
      <c r="B169" s="1347" t="s">
        <v>1154</v>
      </c>
      <c r="C169" s="1348"/>
      <c r="D169" s="1350"/>
      <c r="E169" s="1350"/>
      <c r="F169" s="1322"/>
      <c r="G169" s="1322"/>
      <c r="H169" s="1322"/>
      <c r="I169" s="1322">
        <f>NH!X89</f>
        <v>2050</v>
      </c>
      <c r="J169" s="1322"/>
      <c r="K169" s="1322"/>
      <c r="L169" s="1322"/>
      <c r="M169" s="1322"/>
      <c r="N169" s="1322"/>
      <c r="O169" s="1322"/>
      <c r="P169" s="1322"/>
      <c r="Q169" s="1322"/>
      <c r="R169" s="1322"/>
      <c r="S169" s="1322"/>
      <c r="T169" s="1319"/>
      <c r="U169" s="1287">
        <v>2</v>
      </c>
    </row>
    <row r="170" spans="1:21" s="1314" customFormat="1" ht="25.5" customHeight="1">
      <c r="A170" s="1339">
        <v>7</v>
      </c>
      <c r="B170" s="1340" t="s">
        <v>1171</v>
      </c>
      <c r="C170" s="1339" t="s">
        <v>65</v>
      </c>
      <c r="D170" s="1338">
        <f>+F170+H170+J170+L170+N170+P170+R170</f>
        <v>0</v>
      </c>
      <c r="E170" s="1338">
        <f>+G170+I170+K170+M170+O170+Q170+S170</f>
        <v>1807</v>
      </c>
      <c r="F170" s="1342"/>
      <c r="G170" s="1319">
        <f>G171+G174+G176+G178</f>
        <v>0</v>
      </c>
      <c r="H170" s="1319">
        <f t="shared" ref="H170:S170" si="19">H171+H174+H176+H178</f>
        <v>0</v>
      </c>
      <c r="I170" s="1319">
        <f t="shared" si="19"/>
        <v>0</v>
      </c>
      <c r="J170" s="1319">
        <f t="shared" si="19"/>
        <v>0</v>
      </c>
      <c r="K170" s="1319">
        <f t="shared" si="19"/>
        <v>0</v>
      </c>
      <c r="L170" s="1319"/>
      <c r="M170" s="1319">
        <f t="shared" si="19"/>
        <v>1000</v>
      </c>
      <c r="N170" s="1319">
        <f t="shared" si="19"/>
        <v>0</v>
      </c>
      <c r="O170" s="1319">
        <f t="shared" si="19"/>
        <v>0</v>
      </c>
      <c r="P170" s="1319"/>
      <c r="Q170" s="1319">
        <f t="shared" si="19"/>
        <v>807</v>
      </c>
      <c r="R170" s="1319">
        <f t="shared" si="19"/>
        <v>0</v>
      </c>
      <c r="S170" s="1319">
        <f t="shared" si="19"/>
        <v>0</v>
      </c>
      <c r="T170" s="1319"/>
    </row>
    <row r="171" spans="1:21" s="1286" customFormat="1" ht="26.25" hidden="1" customHeight="1">
      <c r="A171" s="484"/>
      <c r="B171" s="1317"/>
      <c r="C171" s="484"/>
      <c r="D171" s="1338"/>
      <c r="E171" s="1338"/>
      <c r="F171" s="1319"/>
      <c r="G171" s="1319"/>
      <c r="H171" s="1319"/>
      <c r="I171" s="1319"/>
      <c r="J171" s="1319"/>
      <c r="K171" s="1319"/>
      <c r="L171" s="1319"/>
      <c r="M171" s="1319"/>
      <c r="N171" s="1319"/>
      <c r="O171" s="1319"/>
      <c r="P171" s="1319"/>
      <c r="Q171" s="1319"/>
      <c r="R171" s="1319"/>
      <c r="S171" s="1319"/>
      <c r="T171" s="1319"/>
    </row>
    <row r="172" spans="1:21" s="1287" customFormat="1" ht="21" hidden="1" customHeight="1">
      <c r="A172" s="1348"/>
      <c r="B172" s="1347"/>
      <c r="C172" s="1348"/>
      <c r="D172" s="1350"/>
      <c r="E172" s="1350"/>
      <c r="F172" s="1322"/>
      <c r="G172" s="1322"/>
      <c r="H172" s="1322"/>
      <c r="I172" s="1322"/>
      <c r="J172" s="1322"/>
      <c r="K172" s="1322"/>
      <c r="L172" s="1322"/>
      <c r="M172" s="1322"/>
      <c r="N172" s="1322"/>
      <c r="O172" s="1322"/>
      <c r="P172" s="1322"/>
      <c r="Q172" s="1322"/>
      <c r="R172" s="1322"/>
      <c r="S172" s="1322"/>
      <c r="T172" s="1319"/>
    </row>
    <row r="173" spans="1:21" s="1287" customFormat="1" ht="30.95" hidden="1" customHeight="1">
      <c r="A173" s="1348"/>
      <c r="B173" s="1347"/>
      <c r="C173" s="1348"/>
      <c r="D173" s="1350"/>
      <c r="E173" s="1350"/>
      <c r="F173" s="1322"/>
      <c r="G173" s="1322"/>
      <c r="H173" s="1322"/>
      <c r="I173" s="1322"/>
      <c r="J173" s="1322"/>
      <c r="K173" s="1322"/>
      <c r="L173" s="1322"/>
      <c r="M173" s="1322"/>
      <c r="N173" s="1322"/>
      <c r="O173" s="1322"/>
      <c r="P173" s="1322"/>
      <c r="Q173" s="1322"/>
      <c r="R173" s="1322"/>
      <c r="S173" s="1322"/>
      <c r="T173" s="1319"/>
    </row>
    <row r="174" spans="1:21" s="1286" customFormat="1" ht="41.1" customHeight="1">
      <c r="A174" s="484" t="s">
        <v>70</v>
      </c>
      <c r="B174" s="1317" t="s">
        <v>1172</v>
      </c>
      <c r="C174" s="484" t="s">
        <v>71</v>
      </c>
      <c r="D174" s="1338">
        <f t="shared" ref="D174:E182" si="20">+F174+H174+J174+L174+N174+P174+R174</f>
        <v>1</v>
      </c>
      <c r="E174" s="1338">
        <f t="shared" si="20"/>
        <v>1000</v>
      </c>
      <c r="F174" s="1319"/>
      <c r="G174" s="1319"/>
      <c r="H174" s="1319"/>
      <c r="I174" s="1319"/>
      <c r="J174" s="1319"/>
      <c r="K174" s="1319"/>
      <c r="L174" s="1319">
        <v>1</v>
      </c>
      <c r="M174" s="1319">
        <f>'TC huyen HY'!E16</f>
        <v>1000</v>
      </c>
      <c r="N174" s="1319"/>
      <c r="O174" s="1319"/>
      <c r="P174" s="1319"/>
      <c r="Q174" s="1319"/>
      <c r="R174" s="1319"/>
      <c r="S174" s="1319"/>
      <c r="T174" s="496"/>
      <c r="U174" s="1286">
        <v>1</v>
      </c>
    </row>
    <row r="175" spans="1:21" s="1286" customFormat="1" ht="25.5" customHeight="1">
      <c r="A175" s="484" t="s">
        <v>70</v>
      </c>
      <c r="B175" s="1317" t="s">
        <v>188</v>
      </c>
      <c r="C175" s="484" t="s">
        <v>194</v>
      </c>
      <c r="D175" s="1338">
        <f t="shared" si="20"/>
        <v>1</v>
      </c>
      <c r="E175" s="1338">
        <f t="shared" si="20"/>
        <v>700</v>
      </c>
      <c r="F175" s="1319"/>
      <c r="G175" s="1319"/>
      <c r="H175" s="1319"/>
      <c r="I175" s="1319"/>
      <c r="J175" s="1319"/>
      <c r="K175" s="1319"/>
      <c r="L175" s="1319">
        <v>1</v>
      </c>
      <c r="M175" s="1319">
        <v>700</v>
      </c>
      <c r="N175" s="1319"/>
      <c r="O175" s="1319"/>
      <c r="P175" s="1319"/>
      <c r="Q175" s="1319"/>
      <c r="R175" s="1319"/>
      <c r="S175" s="1319"/>
      <c r="T175" s="1319"/>
    </row>
    <row r="176" spans="1:21" s="1286" customFormat="1" ht="25.5" customHeight="1">
      <c r="A176" s="484" t="s">
        <v>70</v>
      </c>
      <c r="B176" s="1317" t="s">
        <v>1043</v>
      </c>
      <c r="C176" s="484" t="s">
        <v>73</v>
      </c>
      <c r="D176" s="1338">
        <f t="shared" si="20"/>
        <v>3</v>
      </c>
      <c r="E176" s="1338">
        <f t="shared" si="20"/>
        <v>450</v>
      </c>
      <c r="F176" s="1319"/>
      <c r="G176" s="1319"/>
      <c r="H176" s="1319"/>
      <c r="I176" s="1319"/>
      <c r="J176" s="1319"/>
      <c r="K176" s="1319"/>
      <c r="L176" s="1319"/>
      <c r="M176" s="1319"/>
      <c r="N176" s="1319"/>
      <c r="O176" s="1319"/>
      <c r="P176" s="1319">
        <v>3</v>
      </c>
      <c r="Q176" s="1319">
        <f>'[58] Biểu 18.Thông tin &amp;TT (V.HÓA)'!$G$86+'[58] Biểu 18.Thông tin &amp;TT (V.HÓA)'!$G$82+'[58] Biểu 18.Thông tin &amp;TT (V.HÓA)'!$G$72</f>
        <v>450</v>
      </c>
      <c r="R176" s="1319"/>
      <c r="S176" s="1319"/>
      <c r="T176" s="1319"/>
    </row>
    <row r="177" spans="1:21" s="1287" customFormat="1" ht="21" hidden="1" customHeight="1">
      <c r="A177" s="1348"/>
      <c r="B177" s="1347" t="s">
        <v>1041</v>
      </c>
      <c r="C177" s="1348"/>
      <c r="D177" s="1350"/>
      <c r="E177" s="1350"/>
      <c r="F177" s="1322"/>
      <c r="G177" s="1322"/>
      <c r="H177" s="1322"/>
      <c r="I177" s="1322"/>
      <c r="J177" s="1322"/>
      <c r="K177" s="1322"/>
      <c r="L177" s="1322"/>
      <c r="M177" s="1322"/>
      <c r="N177" s="1322"/>
      <c r="O177" s="1322"/>
      <c r="P177" s="1322"/>
      <c r="Q177" s="1322">
        <f>'[58] Biểu 18.Thông tin &amp;TT (V.HÓA)'!$R$72+'[58] Biểu 18.Thông tin &amp;TT (V.HÓA)'!$R$82+'[58] Biểu 18.Thông tin &amp;TT (V.HÓA)'!$R$86</f>
        <v>450</v>
      </c>
      <c r="R177" s="1322"/>
      <c r="S177" s="1322"/>
      <c r="T177" s="1322"/>
      <c r="U177" s="1287">
        <v>1</v>
      </c>
    </row>
    <row r="178" spans="1:21" s="1286" customFormat="1" ht="25.5" customHeight="1">
      <c r="A178" s="484" t="s">
        <v>70</v>
      </c>
      <c r="B178" s="1317" t="s">
        <v>1042</v>
      </c>
      <c r="C178" s="484" t="s">
        <v>1173</v>
      </c>
      <c r="D178" s="1338">
        <f>+F178+H178+J178+L178+N178+P178+R178</f>
        <v>7</v>
      </c>
      <c r="E178" s="1338">
        <f>+G178+I178+K178+M178+O178+Q178+S178</f>
        <v>357</v>
      </c>
      <c r="F178" s="1319"/>
      <c r="G178" s="1319"/>
      <c r="H178" s="1319"/>
      <c r="I178" s="1319"/>
      <c r="J178" s="1319"/>
      <c r="K178" s="1319"/>
      <c r="L178" s="1319"/>
      <c r="M178" s="1319"/>
      <c r="N178" s="1319"/>
      <c r="O178" s="1319"/>
      <c r="P178" s="1319">
        <v>7</v>
      </c>
      <c r="Q178" s="1319">
        <f>'[58] Biểu 18.Thông tin &amp;TT (V.HÓA)'!$G$73+'[58] Biểu 18.Thông tin &amp;TT (V.HÓA)'!$G$76+'[58] Biểu 18.Thông tin &amp;TT (V.HÓA)'!$G$78+'[58] Biểu 18.Thông tin &amp;TT (V.HÓA)'!$G$80+'[58] Biểu 18.Thông tin &amp;TT (V.HÓA)'!$G$83+'[58] Biểu 18.Thông tin &amp;TT (V.HÓA)'!$G$88+'[58] Biểu 18.Thông tin &amp;TT (V.HÓA)'!$G$90</f>
        <v>357</v>
      </c>
      <c r="R178" s="1319"/>
      <c r="S178" s="1319"/>
      <c r="T178" s="1319"/>
    </row>
    <row r="179" spans="1:21" s="1287" customFormat="1" ht="21" hidden="1" customHeight="1">
      <c r="A179" s="1348"/>
      <c r="B179" s="1347" t="s">
        <v>1041</v>
      </c>
      <c r="C179" s="1348"/>
      <c r="D179" s="1350"/>
      <c r="E179" s="1350"/>
      <c r="F179" s="1322"/>
      <c r="G179" s="1322"/>
      <c r="H179" s="1322"/>
      <c r="I179" s="1322"/>
      <c r="J179" s="1322"/>
      <c r="K179" s="1322"/>
      <c r="L179" s="1322"/>
      <c r="M179" s="1322"/>
      <c r="N179" s="1322"/>
      <c r="O179" s="1322"/>
      <c r="P179" s="1322"/>
      <c r="Q179" s="1322">
        <f>'[58] Biểu 18.Thông tin &amp;TT (V.HÓA)'!$R$76+'[58] Biểu 18.Thông tin &amp;TT (V.HÓA)'!$R$78+'[58] Biểu 18.Thông tin &amp;TT (V.HÓA)'!$R$73+'[58] Biểu 18.Thông tin &amp;TT (V.HÓA)'!$R$80+'[58] Biểu 18.Thông tin &amp;TT (V.HÓA)'!$R$83+'[58] Biểu 18.Thông tin &amp;TT (V.HÓA)'!$R$88+'[58] Biểu 18.Thông tin &amp;TT (V.HÓA)'!$R$90</f>
        <v>277</v>
      </c>
      <c r="R179" s="1322"/>
      <c r="S179" s="1322"/>
      <c r="T179" s="1322"/>
      <c r="U179" s="1287">
        <v>1</v>
      </c>
    </row>
    <row r="180" spans="1:21" s="1287" customFormat="1" ht="21" hidden="1" customHeight="1">
      <c r="A180" s="1348"/>
      <c r="B180" s="1347" t="s">
        <v>127</v>
      </c>
      <c r="C180" s="1348"/>
      <c r="D180" s="1350"/>
      <c r="E180" s="1350"/>
      <c r="F180" s="1322"/>
      <c r="G180" s="1322"/>
      <c r="H180" s="1322"/>
      <c r="I180" s="1322"/>
      <c r="J180" s="1322"/>
      <c r="K180" s="1322"/>
      <c r="L180" s="1322"/>
      <c r="M180" s="1322"/>
      <c r="N180" s="1322"/>
      <c r="O180" s="1322"/>
      <c r="P180" s="1322"/>
      <c r="Q180" s="1322">
        <f>'[58] Biểu 18.Thông tin &amp;TT (V.HÓA)'!$AA$90+'[58] Biểu 18.Thông tin &amp;TT (V.HÓA)'!$AA$83+'[58] Biểu 18.Thông tin &amp;TT (V.HÓA)'!$AA$80+'[58] Biểu 18.Thông tin &amp;TT (V.HÓA)'!$AA$73</f>
        <v>80</v>
      </c>
      <c r="R180" s="1322"/>
      <c r="S180" s="1322"/>
      <c r="T180" s="1322"/>
      <c r="U180" s="1287">
        <v>1</v>
      </c>
    </row>
    <row r="181" spans="1:21" s="1314" customFormat="1" ht="25.5" customHeight="1">
      <c r="A181" s="1339">
        <v>8</v>
      </c>
      <c r="B181" s="1340" t="s">
        <v>200</v>
      </c>
      <c r="C181" s="1339" t="s">
        <v>65</v>
      </c>
      <c r="D181" s="1338">
        <f t="shared" si="20"/>
        <v>0</v>
      </c>
      <c r="E181" s="1338">
        <f t="shared" si="20"/>
        <v>46330</v>
      </c>
      <c r="F181" s="1319">
        <f>+SUM(F182:F183)</f>
        <v>0</v>
      </c>
      <c r="G181" s="1319">
        <f>G182+G183</f>
        <v>0</v>
      </c>
      <c r="H181" s="1319">
        <f t="shared" ref="H181:S181" si="21">H182+H183</f>
        <v>0</v>
      </c>
      <c r="I181" s="1319">
        <f t="shared" si="21"/>
        <v>0</v>
      </c>
      <c r="J181" s="1319"/>
      <c r="K181" s="1319">
        <f>K182+K183</f>
        <v>2430</v>
      </c>
      <c r="L181" s="1319"/>
      <c r="M181" s="1319">
        <f t="shared" si="21"/>
        <v>13100</v>
      </c>
      <c r="N181" s="1319"/>
      <c r="O181" s="1319">
        <f t="shared" si="21"/>
        <v>5750</v>
      </c>
      <c r="P181" s="1319"/>
      <c r="Q181" s="1319">
        <f t="shared" si="21"/>
        <v>25050</v>
      </c>
      <c r="R181" s="1319">
        <f t="shared" si="21"/>
        <v>0</v>
      </c>
      <c r="S181" s="1319">
        <f t="shared" si="21"/>
        <v>0</v>
      </c>
      <c r="T181" s="1319"/>
    </row>
    <row r="182" spans="1:21" s="1286" customFormat="1" ht="18.75" hidden="1" customHeight="1">
      <c r="A182" s="484" t="s">
        <v>70</v>
      </c>
      <c r="B182" s="1317" t="s">
        <v>521</v>
      </c>
      <c r="C182" s="484" t="s">
        <v>74</v>
      </c>
      <c r="D182" s="1338">
        <f t="shared" si="20"/>
        <v>0</v>
      </c>
      <c r="E182" s="1338">
        <f t="shared" si="20"/>
        <v>0</v>
      </c>
      <c r="F182" s="1319"/>
      <c r="G182" s="1319">
        <f>+F182*80</f>
        <v>0</v>
      </c>
      <c r="H182" s="1319"/>
      <c r="I182" s="1319">
        <f>+H182*80</f>
        <v>0</v>
      </c>
      <c r="J182" s="1319"/>
      <c r="K182" s="1319"/>
      <c r="L182" s="1319"/>
      <c r="M182" s="1319">
        <f>+L182*80</f>
        <v>0</v>
      </c>
      <c r="N182" s="1319"/>
      <c r="O182" s="1319"/>
      <c r="P182" s="1319"/>
      <c r="Q182" s="1319">
        <f>+P182*100</f>
        <v>0</v>
      </c>
      <c r="R182" s="1319"/>
      <c r="S182" s="1319"/>
      <c r="T182" s="1319"/>
    </row>
    <row r="183" spans="1:21" s="1286" customFormat="1" ht="26.25" customHeight="1">
      <c r="A183" s="484" t="s">
        <v>70</v>
      </c>
      <c r="B183" s="1317" t="s">
        <v>205</v>
      </c>
      <c r="C183" s="484" t="s">
        <v>74</v>
      </c>
      <c r="D183" s="1338">
        <f>+F183+H183+J183+L183+N183+P183+R183</f>
        <v>406</v>
      </c>
      <c r="E183" s="1338">
        <f t="shared" ref="E183:E194" si="22">+G183+I183+K183+M183+O183+Q183+S183</f>
        <v>46330</v>
      </c>
      <c r="F183" s="1319"/>
      <c r="G183" s="1319"/>
      <c r="H183" s="1319"/>
      <c r="I183" s="1319"/>
      <c r="J183" s="1319">
        <f>CH!D68+CH!D67</f>
        <v>53</v>
      </c>
      <c r="K183" s="1319">
        <f>CH!E68+CH!E67</f>
        <v>2430</v>
      </c>
      <c r="L183" s="1319">
        <f>HY!D36+HY!D74+HY!D108</f>
        <v>131</v>
      </c>
      <c r="M183" s="1319">
        <f>HY!E35+HY!E74+HY!E108</f>
        <v>13100</v>
      </c>
      <c r="N183" s="1319">
        <f>YS!E27+YS!E48</f>
        <v>55</v>
      </c>
      <c r="O183" s="1319">
        <f>SUM(O184:O191)</f>
        <v>5750</v>
      </c>
      <c r="P183" s="1319">
        <f>'[58]Biểu 19. Nhà ở dân cư (KTHT)'!$D$47+'[58]Biểu 19. Nhà ở dân cư (KTHT)'!$D$49+'[58]Biểu 19. Nhà ở dân cư (KTHT)'!$D$51+'[58]Biểu 19. Nhà ở dân cư (KTHT)'!$D$53</f>
        <v>167</v>
      </c>
      <c r="Q183" s="1319">
        <f>'[58]Biểu 19. Nhà ở dân cư (KTHT)'!$G$47+'[58]Biểu 19. Nhà ở dân cư (KTHT)'!$G$49+'[58]Biểu 19. Nhà ở dân cư (KTHT)'!$G$51+'[58]Biểu 19. Nhà ở dân cư (KTHT)'!$G$53</f>
        <v>25050</v>
      </c>
      <c r="R183" s="1319"/>
      <c r="S183" s="1319"/>
      <c r="T183" s="1319"/>
    </row>
    <row r="184" spans="1:21" s="1287" customFormat="1" ht="18.75" hidden="1" customHeight="1">
      <c r="A184" s="1348"/>
      <c r="B184" s="1347" t="s">
        <v>676</v>
      </c>
      <c r="C184" s="1348"/>
      <c r="D184" s="1350"/>
      <c r="E184" s="1350">
        <f t="shared" si="22"/>
        <v>4080</v>
      </c>
      <c r="F184" s="1322"/>
      <c r="G184" s="1322"/>
      <c r="H184" s="1322"/>
      <c r="I184" s="1322"/>
      <c r="J184" s="1322"/>
      <c r="K184" s="1322">
        <f>K183</f>
        <v>2430</v>
      </c>
      <c r="L184" s="1322"/>
      <c r="M184" s="1322"/>
      <c r="N184" s="1322"/>
      <c r="O184" s="1322">
        <f>YS!Q27+YS!Q48</f>
        <v>1650</v>
      </c>
      <c r="P184" s="1322"/>
      <c r="Q184" s="1322"/>
      <c r="R184" s="1322"/>
      <c r="S184" s="1322"/>
      <c r="T184" s="1327"/>
      <c r="U184" s="1287">
        <v>1</v>
      </c>
    </row>
    <row r="185" spans="1:21" s="1287" customFormat="1" ht="18.75" hidden="1" customHeight="1">
      <c r="A185" s="1348"/>
      <c r="B185" s="1347" t="s">
        <v>1036</v>
      </c>
      <c r="C185" s="1348"/>
      <c r="D185" s="1350"/>
      <c r="E185" s="1350">
        <f t="shared" si="22"/>
        <v>1800</v>
      </c>
      <c r="F185" s="1322"/>
      <c r="G185" s="1322"/>
      <c r="H185" s="1322"/>
      <c r="I185" s="1322"/>
      <c r="J185" s="1322"/>
      <c r="K185" s="1322"/>
      <c r="L185" s="1322"/>
      <c r="M185" s="1322"/>
      <c r="N185" s="1322"/>
      <c r="O185" s="1322"/>
      <c r="P185" s="1322"/>
      <c r="Q185" s="1322">
        <f>'[58]Biểu 19. Nhà ở dân cư (KTHT)'!$K$47+'[58]Biểu 19. Nhà ở dân cư (KTHT)'!$K$49+'[58]Biểu 19. Nhà ở dân cư (KTHT)'!$K$51+'[58]Biểu 19. Nhà ở dân cư (KTHT)'!$K$53</f>
        <v>1800</v>
      </c>
      <c r="R185" s="1322"/>
      <c r="S185" s="1322"/>
      <c r="T185" s="1327"/>
      <c r="U185" s="1287">
        <v>1</v>
      </c>
    </row>
    <row r="186" spans="1:21" s="1287" customFormat="1" ht="18.75" hidden="1" customHeight="1">
      <c r="A186" s="1348"/>
      <c r="B186" s="1347" t="s">
        <v>1154</v>
      </c>
      <c r="C186" s="1348"/>
      <c r="D186" s="1350"/>
      <c r="E186" s="1350">
        <f t="shared" si="22"/>
        <v>450</v>
      </c>
      <c r="F186" s="1322"/>
      <c r="G186" s="1322"/>
      <c r="H186" s="1322"/>
      <c r="I186" s="1322"/>
      <c r="J186" s="1322"/>
      <c r="K186" s="1322"/>
      <c r="L186" s="1322"/>
      <c r="M186" s="1322"/>
      <c r="N186" s="1322"/>
      <c r="O186" s="1322"/>
      <c r="P186" s="1322"/>
      <c r="Q186" s="1322">
        <f>'[58]Biểu 19. Nhà ở dân cư (KTHT)'!$N$47+'[58]Biểu 19. Nhà ở dân cư (KTHT)'!$N$49+'[58]Biểu 19. Nhà ở dân cư (KTHT)'!$N$51+'[58]Biểu 19. Nhà ở dân cư (KTHT)'!$N$53</f>
        <v>450</v>
      </c>
      <c r="R186" s="1322"/>
      <c r="S186" s="1322"/>
      <c r="T186" s="1327"/>
      <c r="U186" s="1287">
        <v>2</v>
      </c>
    </row>
    <row r="187" spans="1:21" s="1287" customFormat="1" ht="18.75" hidden="1" customHeight="1">
      <c r="A187" s="1348"/>
      <c r="B187" s="1347" t="s">
        <v>127</v>
      </c>
      <c r="C187" s="1348"/>
      <c r="D187" s="1350"/>
      <c r="E187" s="1350">
        <f t="shared" si="22"/>
        <v>27100</v>
      </c>
      <c r="F187" s="1322"/>
      <c r="G187" s="1322"/>
      <c r="H187" s="1322"/>
      <c r="I187" s="1322"/>
      <c r="J187" s="1322"/>
      <c r="K187" s="1322"/>
      <c r="L187" s="1322"/>
      <c r="M187" s="1322">
        <f>HY!L36+HY!L74+HY!L108</f>
        <v>6550</v>
      </c>
      <c r="N187" s="1322"/>
      <c r="O187" s="1322">
        <f>YS!X27+YS!X48</f>
        <v>3850</v>
      </c>
      <c r="P187" s="1322"/>
      <c r="Q187" s="1322">
        <f>'[58]Biểu 19. Nhà ở dân cư (KTHT)'!$AA$47+'[58]Biểu 19. Nhà ở dân cư (KTHT)'!$AA$49+'[58]Biểu 19. Nhà ở dân cư (KTHT)'!$AA$51+'[58]Biểu 19. Nhà ở dân cư (KTHT)'!$AA$53</f>
        <v>16700</v>
      </c>
      <c r="R187" s="1322"/>
      <c r="S187" s="1322"/>
      <c r="T187" s="1327"/>
      <c r="U187" s="1287">
        <v>1</v>
      </c>
    </row>
    <row r="188" spans="1:21" s="1287" customFormat="1" ht="18.75" hidden="1" customHeight="1">
      <c r="A188" s="1348"/>
      <c r="B188" s="1347" t="s">
        <v>1037</v>
      </c>
      <c r="C188" s="1348"/>
      <c r="D188" s="1350"/>
      <c r="E188" s="1350">
        <f t="shared" si="22"/>
        <v>6100</v>
      </c>
      <c r="F188" s="1322"/>
      <c r="G188" s="1322"/>
      <c r="H188" s="1322"/>
      <c r="I188" s="1322"/>
      <c r="J188" s="1322"/>
      <c r="K188" s="1322"/>
      <c r="L188" s="1322"/>
      <c r="M188" s="1322"/>
      <c r="N188" s="1322"/>
      <c r="O188" s="1322"/>
      <c r="P188" s="1322"/>
      <c r="Q188" s="1322">
        <f>'[58]Biểu 19. Nhà ở dân cư (KTHT)'!$AD$47+'[58]Biểu 19. Nhà ở dân cư (KTHT)'!$AD$51+'[58]Biểu 19. Nhà ở dân cư (KTHT)'!$AD$53</f>
        <v>6100</v>
      </c>
      <c r="R188" s="1322"/>
      <c r="S188" s="1322"/>
      <c r="T188" s="1327"/>
      <c r="U188" s="1287">
        <v>1</v>
      </c>
    </row>
    <row r="189" spans="1:21" s="1287" customFormat="1" ht="18.75" hidden="1" customHeight="1">
      <c r="A189" s="1348"/>
      <c r="B189" s="1347" t="s">
        <v>518</v>
      </c>
      <c r="C189" s="1348"/>
      <c r="D189" s="1350"/>
      <c r="E189" s="1350">
        <f t="shared" si="22"/>
        <v>6550</v>
      </c>
      <c r="F189" s="1322"/>
      <c r="G189" s="1322"/>
      <c r="H189" s="1322"/>
      <c r="I189" s="1322"/>
      <c r="J189" s="1322"/>
      <c r="K189" s="1322"/>
      <c r="L189" s="1322"/>
      <c r="M189" s="1322">
        <f>HY!M36+HY!M74+HY!M108</f>
        <v>6550</v>
      </c>
      <c r="N189" s="1322"/>
      <c r="O189" s="1322"/>
      <c r="P189" s="1322"/>
      <c r="Q189" s="1322"/>
      <c r="R189" s="1322"/>
      <c r="S189" s="1322"/>
      <c r="T189" s="1327"/>
      <c r="U189" s="1287">
        <v>1</v>
      </c>
    </row>
    <row r="190" spans="1:21" s="1288" customFormat="1" ht="22.5" hidden="1" customHeight="1">
      <c r="A190" s="1369"/>
      <c r="B190" s="1370"/>
      <c r="C190" s="1371"/>
      <c r="D190" s="1338"/>
      <c r="E190" s="1338"/>
      <c r="F190" s="1372"/>
      <c r="G190" s="1372"/>
      <c r="H190" s="1372"/>
      <c r="I190" s="1372"/>
      <c r="J190" s="1372"/>
      <c r="K190" s="1372"/>
      <c r="L190" s="1372"/>
      <c r="M190" s="1372"/>
      <c r="N190" s="1372"/>
      <c r="O190" s="1372"/>
      <c r="P190" s="1372"/>
      <c r="Q190" s="1372"/>
      <c r="R190" s="1372"/>
      <c r="S190" s="1372"/>
      <c r="T190" s="1328"/>
    </row>
    <row r="191" spans="1:21" s="1287" customFormat="1" ht="18.75" hidden="1" customHeight="1">
      <c r="A191" s="1348"/>
      <c r="B191" s="1347" t="s">
        <v>1036</v>
      </c>
      <c r="C191" s="1348"/>
      <c r="D191" s="1350"/>
      <c r="E191" s="1338">
        <f t="shared" si="22"/>
        <v>250</v>
      </c>
      <c r="F191" s="1322"/>
      <c r="G191" s="1322"/>
      <c r="H191" s="1322"/>
      <c r="I191" s="1322"/>
      <c r="J191" s="1322"/>
      <c r="K191" s="1322"/>
      <c r="L191" s="1322"/>
      <c r="M191" s="1322"/>
      <c r="N191" s="1322"/>
      <c r="O191" s="1322">
        <v>250</v>
      </c>
      <c r="P191" s="1322"/>
      <c r="Q191" s="1322"/>
      <c r="R191" s="1322"/>
      <c r="S191" s="1322"/>
      <c r="T191" s="1327"/>
      <c r="U191" s="1287">
        <v>1</v>
      </c>
    </row>
    <row r="192" spans="1:21" s="1313" customFormat="1" ht="26.25" customHeight="1">
      <c r="A192" s="485" t="s">
        <v>67</v>
      </c>
      <c r="B192" s="1337" t="s">
        <v>3</v>
      </c>
      <c r="C192" s="485" t="s">
        <v>65</v>
      </c>
      <c r="D192" s="1338">
        <f>+F192+H192+J192+L192+N192+P192+R192</f>
        <v>0</v>
      </c>
      <c r="E192" s="1311">
        <f t="shared" si="22"/>
        <v>1445225.442</v>
      </c>
      <c r="F192" s="1312">
        <f>+F193+F194</f>
        <v>0</v>
      </c>
      <c r="G192" s="1312">
        <f>+G193+G194+G198</f>
        <v>127525.20774833945</v>
      </c>
      <c r="H192" s="1312">
        <f t="shared" ref="H192:R192" si="23">+H193+H194+H198</f>
        <v>0</v>
      </c>
      <c r="I192" s="1312">
        <f t="shared" si="23"/>
        <v>131586.29293664257</v>
      </c>
      <c r="J192" s="1312">
        <f t="shared" si="23"/>
        <v>0</v>
      </c>
      <c r="K192" s="1312">
        <f t="shared" si="23"/>
        <v>266411.58455029025</v>
      </c>
      <c r="L192" s="1312">
        <f t="shared" si="23"/>
        <v>0</v>
      </c>
      <c r="M192" s="1312">
        <f t="shared" si="23"/>
        <v>200369.17024740984</v>
      </c>
      <c r="N192" s="1312">
        <f t="shared" si="23"/>
        <v>0</v>
      </c>
      <c r="O192" s="1312">
        <f t="shared" si="23"/>
        <v>304492.88685138582</v>
      </c>
      <c r="P192" s="1312">
        <f t="shared" si="23"/>
        <v>0</v>
      </c>
      <c r="Q192" s="1312">
        <f t="shared" si="23"/>
        <v>339896.39385467756</v>
      </c>
      <c r="R192" s="1312">
        <f t="shared" si="23"/>
        <v>0</v>
      </c>
      <c r="S192" s="1312">
        <f>+S193+S194+S198</f>
        <v>74943.90581125459</v>
      </c>
      <c r="T192" s="1319"/>
    </row>
    <row r="193" spans="1:21" s="1320" customFormat="1" ht="42" customHeight="1">
      <c r="A193" s="484">
        <v>1</v>
      </c>
      <c r="B193" s="1317" t="s">
        <v>1030</v>
      </c>
      <c r="C193" s="484"/>
      <c r="D193" s="1338"/>
      <c r="E193" s="1338">
        <f t="shared" si="22"/>
        <v>1200000.0000000002</v>
      </c>
      <c r="F193" s="1319"/>
      <c r="G193" s="1319">
        <f>'Tín dụng'!G10</f>
        <v>89429.207748339453</v>
      </c>
      <c r="H193" s="1319"/>
      <c r="I193" s="1319">
        <f>'Tín dụng'!I10</f>
        <v>95676.100936642571</v>
      </c>
      <c r="J193" s="1319"/>
      <c r="K193" s="1319">
        <f>'Tín dụng'!K10</f>
        <v>212065.58455029025</v>
      </c>
      <c r="L193" s="1319"/>
      <c r="M193" s="1319">
        <f>'Tín dụng'!M10</f>
        <v>169192.17024740984</v>
      </c>
      <c r="N193" s="1319"/>
      <c r="O193" s="1319">
        <f>'Tín dụng'!O10</f>
        <v>264083.88685138582</v>
      </c>
      <c r="P193" s="1319"/>
      <c r="Q193" s="1319">
        <f>'Tín dụng'!Q10</f>
        <v>302481.14385467756</v>
      </c>
      <c r="R193" s="1319"/>
      <c r="S193" s="1319">
        <f>'Tín dụng'!S10</f>
        <v>67071.90581125459</v>
      </c>
      <c r="T193" s="1319"/>
    </row>
    <row r="194" spans="1:21" s="1320" customFormat="1" ht="40.5" customHeight="1">
      <c r="A194" s="484">
        <v>2</v>
      </c>
      <c r="B194" s="1317" t="s">
        <v>1153</v>
      </c>
      <c r="C194" s="484"/>
      <c r="D194" s="1338"/>
      <c r="E194" s="1338">
        <f t="shared" si="22"/>
        <v>90565.59599999999</v>
      </c>
      <c r="F194" s="1319"/>
      <c r="G194" s="1319">
        <f>G195+G196+G197</f>
        <v>11087</v>
      </c>
      <c r="H194" s="1319"/>
      <c r="I194" s="1319">
        <f t="shared" ref="I194:S194" si="24">I195+I196+I197</f>
        <v>13112.596</v>
      </c>
      <c r="J194" s="1319"/>
      <c r="K194" s="1319">
        <f t="shared" si="24"/>
        <v>16161</v>
      </c>
      <c r="L194" s="1319"/>
      <c r="M194" s="1319">
        <f t="shared" si="24"/>
        <v>12940</v>
      </c>
      <c r="N194" s="1319"/>
      <c r="O194" s="1319">
        <f t="shared" si="24"/>
        <v>16351</v>
      </c>
      <c r="P194" s="1319"/>
      <c r="Q194" s="1319">
        <f t="shared" si="24"/>
        <v>16236</v>
      </c>
      <c r="R194" s="1319"/>
      <c r="S194" s="1319">
        <f t="shared" si="24"/>
        <v>4678</v>
      </c>
      <c r="T194" s="1319"/>
    </row>
    <row r="195" spans="1:21" s="1321" customFormat="1" ht="23.1" hidden="1" customHeight="1">
      <c r="A195" s="1348"/>
      <c r="B195" s="1347" t="s">
        <v>1026</v>
      </c>
      <c r="C195" s="1348"/>
      <c r="D195" s="1350"/>
      <c r="E195" s="1350"/>
      <c r="F195" s="1322"/>
      <c r="G195" s="1322">
        <f>'SN GNBV'!D37</f>
        <v>5477</v>
      </c>
      <c r="H195" s="1322"/>
      <c r="I195" s="1322">
        <f>'SN GNBV'!E39</f>
        <v>5477</v>
      </c>
      <c r="J195" s="1322"/>
      <c r="K195" s="1322">
        <f>'SN GNBV'!F39</f>
        <v>4272</v>
      </c>
      <c r="L195" s="1322"/>
      <c r="M195" s="1322">
        <f>'SN GNBV'!G39</f>
        <v>3700</v>
      </c>
      <c r="N195" s="1322"/>
      <c r="O195" s="1322">
        <f>'SN GNBV'!H39</f>
        <v>4379</v>
      </c>
      <c r="P195" s="1322"/>
      <c r="Q195" s="1322">
        <f>'SN GNBV'!I39</f>
        <v>4486</v>
      </c>
      <c r="R195" s="1322"/>
      <c r="S195" s="1322">
        <f>'SN GNBV'!J39</f>
        <v>1090</v>
      </c>
      <c r="T195" s="1322"/>
      <c r="U195" s="1287">
        <v>1</v>
      </c>
    </row>
    <row r="196" spans="1:21" s="1321" customFormat="1" ht="23.1" hidden="1" customHeight="1">
      <c r="A196" s="1348"/>
      <c r="B196" s="1347" t="s">
        <v>1036</v>
      </c>
      <c r="C196" s="1348"/>
      <c r="D196" s="1350"/>
      <c r="E196" s="1350"/>
      <c r="F196" s="1322"/>
      <c r="G196" s="1322">
        <f>[62]DA5!$R$21</f>
        <v>5610</v>
      </c>
      <c r="H196" s="1322"/>
      <c r="I196" s="1322">
        <f>[62]DA5!$R$22</f>
        <v>6305</v>
      </c>
      <c r="J196" s="1322"/>
      <c r="K196" s="1322">
        <f>[62]DA5!$R$23</f>
        <v>11889</v>
      </c>
      <c r="L196" s="1322"/>
      <c r="M196" s="1322">
        <f>[62]DA5!$R$24</f>
        <v>9240</v>
      </c>
      <c r="N196" s="1322"/>
      <c r="O196" s="1322">
        <f>[62]DA5!$R$25</f>
        <v>11672</v>
      </c>
      <c r="P196" s="1322"/>
      <c r="Q196" s="1322">
        <f>[62]DA5!$R$26</f>
        <v>11750</v>
      </c>
      <c r="R196" s="1322"/>
      <c r="S196" s="1322">
        <f>[62]DA5!$R$27</f>
        <v>3588</v>
      </c>
      <c r="T196" s="1322"/>
      <c r="U196" s="1287">
        <v>1</v>
      </c>
    </row>
    <row r="197" spans="1:21" s="1320" customFormat="1" ht="23.1" hidden="1" customHeight="1">
      <c r="A197" s="484"/>
      <c r="B197" s="1317" t="s">
        <v>867</v>
      </c>
      <c r="C197" s="484"/>
      <c r="D197" s="1338"/>
      <c r="E197" s="1338"/>
      <c r="F197" s="1319"/>
      <c r="G197" s="1319"/>
      <c r="H197" s="1319"/>
      <c r="I197" s="1319">
        <f>1330.596</f>
        <v>1330.596</v>
      </c>
      <c r="J197" s="1319"/>
      <c r="K197" s="1319"/>
      <c r="L197" s="1319"/>
      <c r="M197" s="1319"/>
      <c r="N197" s="1319"/>
      <c r="O197" s="1319">
        <v>300</v>
      </c>
      <c r="P197" s="1319"/>
      <c r="Q197" s="1319"/>
      <c r="R197" s="1319"/>
      <c r="S197" s="1319"/>
      <c r="T197" s="1319"/>
      <c r="U197" s="1287">
        <v>1</v>
      </c>
    </row>
    <row r="198" spans="1:21" s="1320" customFormat="1" ht="31.5" customHeight="1">
      <c r="A198" s="484">
        <v>3</v>
      </c>
      <c r="B198" s="1317" t="s">
        <v>1169</v>
      </c>
      <c r="C198" s="484"/>
      <c r="D198" s="1338"/>
      <c r="E198" s="1338">
        <f>+G198+I198+K198+M198+O198+Q198+S198</f>
        <v>154659.84599999999</v>
      </c>
      <c r="F198" s="1319"/>
      <c r="G198" s="1319">
        <f>G199+G200+G201</f>
        <v>27009</v>
      </c>
      <c r="H198" s="1319"/>
      <c r="I198" s="1319">
        <f>I199+I200+I201</f>
        <v>22797.595999999998</v>
      </c>
      <c r="J198" s="1319"/>
      <c r="K198" s="1319">
        <f>K199+K200+K201</f>
        <v>38185</v>
      </c>
      <c r="L198" s="1319"/>
      <c r="M198" s="1319">
        <f>M199+M200+M201</f>
        <v>18237</v>
      </c>
      <c r="N198" s="1319"/>
      <c r="O198" s="1319">
        <f>O199+O200+O201</f>
        <v>24058</v>
      </c>
      <c r="P198" s="1319"/>
      <c r="Q198" s="1319">
        <f>Q199+Q200+Q201</f>
        <v>21179.25</v>
      </c>
      <c r="R198" s="1319"/>
      <c r="S198" s="1319">
        <f>S199+S200+S201</f>
        <v>3194</v>
      </c>
      <c r="T198" s="1319"/>
    </row>
    <row r="199" spans="1:21" s="1321" customFormat="1" ht="24.75" hidden="1" customHeight="1">
      <c r="A199" s="1348"/>
      <c r="B199" s="1347" t="s">
        <v>1026</v>
      </c>
      <c r="C199" s="1348"/>
      <c r="D199" s="1350"/>
      <c r="E199" s="1350"/>
      <c r="F199" s="1322"/>
      <c r="G199" s="1322">
        <f>'SN GN'!D25+'SN GN'!D28</f>
        <v>10384</v>
      </c>
      <c r="H199" s="1322"/>
      <c r="I199" s="1322">
        <f>'SN GN'!E25+'SN GN'!E28</f>
        <v>10384</v>
      </c>
      <c r="J199" s="1322"/>
      <c r="K199" s="1322">
        <f>'SN GN'!F25+'SN GN'!F28</f>
        <v>10743</v>
      </c>
      <c r="L199" s="1322"/>
      <c r="M199" s="1322">
        <f>'SN GN'!G25+'SN GN'!G28</f>
        <v>7782</v>
      </c>
      <c r="N199" s="1322"/>
      <c r="O199" s="1322">
        <f>'SN GN'!H25+'SN GN'!H28</f>
        <v>13093</v>
      </c>
      <c r="P199" s="1322"/>
      <c r="Q199" s="1322">
        <f>'SN GN'!I25+'SN GN'!I28</f>
        <v>13093</v>
      </c>
      <c r="R199" s="1322"/>
      <c r="S199" s="1322">
        <f>'SN GN'!J25+'SN GN'!J28</f>
        <v>1882</v>
      </c>
      <c r="T199" s="1322"/>
      <c r="U199" s="1287">
        <v>1</v>
      </c>
    </row>
    <row r="200" spans="1:21" s="1320" customFormat="1" ht="23.25" hidden="1" customHeight="1">
      <c r="A200" s="484"/>
      <c r="B200" s="1317" t="s">
        <v>867</v>
      </c>
      <c r="C200" s="484"/>
      <c r="D200" s="1338"/>
      <c r="E200" s="1338"/>
      <c r="F200" s="1319"/>
      <c r="G200" s="1319">
        <f>'[63]Huyen TP'!$D$21</f>
        <v>500</v>
      </c>
      <c r="H200" s="1319"/>
      <c r="I200" s="1319">
        <f>'[63]Huyen TP'!$F$21</f>
        <v>1410.596</v>
      </c>
      <c r="J200" s="1319"/>
      <c r="K200" s="1319">
        <f>'[63]Huyen TP'!$E$21</f>
        <v>2945</v>
      </c>
      <c r="L200" s="1319"/>
      <c r="M200" s="1319">
        <f>'[63]Huyen TP'!$G$21</f>
        <v>80</v>
      </c>
      <c r="N200" s="1319"/>
      <c r="O200" s="1319">
        <f>'[63]Huyen TP'!$H$21</f>
        <v>720</v>
      </c>
      <c r="P200" s="1319"/>
      <c r="Q200" s="1319">
        <f>'[63]Huyen TP'!$I$21</f>
        <v>864.25</v>
      </c>
      <c r="R200" s="1319"/>
      <c r="S200" s="1319">
        <f>'[63]Huyen TP'!$J$21</f>
        <v>1200</v>
      </c>
      <c r="T200" s="1319"/>
      <c r="U200" s="1287">
        <v>1</v>
      </c>
    </row>
    <row r="201" spans="1:21" s="1321" customFormat="1" ht="23.25" hidden="1" customHeight="1">
      <c r="A201" s="1348"/>
      <c r="B201" s="1347" t="s">
        <v>1036</v>
      </c>
      <c r="C201" s="1348"/>
      <c r="D201" s="1350"/>
      <c r="E201" s="1350"/>
      <c r="F201" s="1322"/>
      <c r="G201" s="1322">
        <f>'[64]3.1 TDA1 LN'!$L$24+'[64]3.3. TDA2'!$M$23</f>
        <v>16125</v>
      </c>
      <c r="H201" s="1322"/>
      <c r="I201" s="1322">
        <f>'[64]3.1 TDA1 LN'!$L$25+'[64]3.3. TDA2'!$M$24</f>
        <v>11003</v>
      </c>
      <c r="J201" s="1322"/>
      <c r="K201" s="1322">
        <f>'[65]Biểu TH'!$G$35</f>
        <v>24497</v>
      </c>
      <c r="L201" s="1322"/>
      <c r="M201" s="1322">
        <f>'[65]Biểu TH'!$G$36</f>
        <v>10375</v>
      </c>
      <c r="N201" s="1322"/>
      <c r="O201" s="1322">
        <f>'[65]Biểu TH'!$G$37</f>
        <v>10245</v>
      </c>
      <c r="P201" s="1322"/>
      <c r="Q201" s="1322">
        <f>'[65]Biểu TH'!$G$38</f>
        <v>7222</v>
      </c>
      <c r="R201" s="1322"/>
      <c r="S201" s="1322">
        <f>'[65]Biểu TH'!$G$39</f>
        <v>112</v>
      </c>
      <c r="T201" s="1322"/>
      <c r="U201" s="1287">
        <v>1</v>
      </c>
    </row>
    <row r="202" spans="1:21" s="1313" customFormat="1" ht="30.75" customHeight="1">
      <c r="A202" s="485" t="s">
        <v>80</v>
      </c>
      <c r="B202" s="1337" t="s">
        <v>9</v>
      </c>
      <c r="C202" s="485" t="s">
        <v>65</v>
      </c>
      <c r="D202" s="1338">
        <f>+F202+H202+J202+L202+N202+P202+R202</f>
        <v>0</v>
      </c>
      <c r="E202" s="1311">
        <f>+G202+I202+K202+M202+O202+Q202+S202</f>
        <v>289778.08</v>
      </c>
      <c r="F202" s="1312"/>
      <c r="G202" s="1312">
        <f>+G203+G210</f>
        <v>11062.48</v>
      </c>
      <c r="H202" s="1312"/>
      <c r="I202" s="1312">
        <f>+I203+I210</f>
        <v>9965.6</v>
      </c>
      <c r="J202" s="1312"/>
      <c r="K202" s="1312">
        <f>+K203+K210</f>
        <v>2190</v>
      </c>
      <c r="L202" s="1312"/>
      <c r="M202" s="1312">
        <f>+M203+M210</f>
        <v>57220</v>
      </c>
      <c r="N202" s="1312"/>
      <c r="O202" s="1312">
        <f>+O203+O210</f>
        <v>16018</v>
      </c>
      <c r="P202" s="1312"/>
      <c r="Q202" s="1312">
        <f>+Q203+Q210</f>
        <v>193322</v>
      </c>
      <c r="R202" s="1312"/>
      <c r="S202" s="1312">
        <f>+S203+S210</f>
        <v>0</v>
      </c>
      <c r="T202" s="1319"/>
    </row>
    <row r="203" spans="1:21" s="1314" customFormat="1" ht="21" customHeight="1">
      <c r="A203" s="1339">
        <v>1</v>
      </c>
      <c r="B203" s="1340" t="s">
        <v>83</v>
      </c>
      <c r="C203" s="1339" t="s">
        <v>65</v>
      </c>
      <c r="D203" s="1338"/>
      <c r="E203" s="1338">
        <f>+G203+I203+K203+M203+O203+Q203+S203</f>
        <v>100618</v>
      </c>
      <c r="F203" s="1342"/>
      <c r="G203" s="1342">
        <f>G204+G206+G208</f>
        <v>0</v>
      </c>
      <c r="H203" s="1342"/>
      <c r="I203" s="1342">
        <f t="shared" ref="I203:S203" si="25">I204+I206+I208</f>
        <v>0</v>
      </c>
      <c r="J203" s="1342"/>
      <c r="K203" s="1342">
        <f t="shared" si="25"/>
        <v>0</v>
      </c>
      <c r="L203" s="1342"/>
      <c r="M203" s="1342">
        <f t="shared" si="25"/>
        <v>0</v>
      </c>
      <c r="N203" s="1342"/>
      <c r="O203" s="1342">
        <f>O204+O206+O208</f>
        <v>10618</v>
      </c>
      <c r="P203" s="1342"/>
      <c r="Q203" s="1342">
        <f t="shared" si="25"/>
        <v>90000</v>
      </c>
      <c r="R203" s="1342"/>
      <c r="S203" s="1342">
        <f t="shared" si="25"/>
        <v>0</v>
      </c>
      <c r="T203" s="1319"/>
    </row>
    <row r="204" spans="1:21" s="1286" customFormat="1" ht="42.75" customHeight="1">
      <c r="A204" s="484" t="s">
        <v>81</v>
      </c>
      <c r="B204" s="1317" t="s">
        <v>1044</v>
      </c>
      <c r="C204" s="484" t="s">
        <v>71</v>
      </c>
      <c r="D204" s="1338">
        <f t="shared" ref="D204:D219" si="26">+F204+H204+J204+L204+N204+P204+R204</f>
        <v>1</v>
      </c>
      <c r="E204" s="1338">
        <f>+G204+I204+K204+M204+O204+Q204+S204</f>
        <v>70000</v>
      </c>
      <c r="F204" s="1319"/>
      <c r="G204" s="1319"/>
      <c r="H204" s="1319"/>
      <c r="I204" s="1319"/>
      <c r="J204" s="1319"/>
      <c r="K204" s="1319"/>
      <c r="L204" s="1319"/>
      <c r="M204" s="1319"/>
      <c r="N204" s="1319"/>
      <c r="O204" s="1319"/>
      <c r="P204" s="1319">
        <v>1</v>
      </c>
      <c r="Q204" s="1319">
        <f>'[58]Biểu 21. Y tế (Y TẾ)'!$G$114+'[58]Biểu 21. Y tế (Y TẾ)'!$G$115</f>
        <v>70000</v>
      </c>
      <c r="R204" s="1319"/>
      <c r="S204" s="1319"/>
      <c r="T204" s="1319"/>
    </row>
    <row r="205" spans="1:21" s="1287" customFormat="1" ht="26.25" hidden="1" customHeight="1">
      <c r="A205" s="1348"/>
      <c r="B205" s="1347" t="s">
        <v>1037</v>
      </c>
      <c r="C205" s="1348"/>
      <c r="D205" s="1350"/>
      <c r="E205" s="1350"/>
      <c r="F205" s="1322"/>
      <c r="G205" s="1322"/>
      <c r="H205" s="1322"/>
      <c r="I205" s="1322"/>
      <c r="J205" s="1322"/>
      <c r="K205" s="1322"/>
      <c r="L205" s="1322"/>
      <c r="M205" s="1322"/>
      <c r="N205" s="1322"/>
      <c r="O205" s="1322"/>
      <c r="P205" s="1322"/>
      <c r="Q205" s="1322">
        <f>'[58]Biểu 21. Y tế (Y TẾ)'!$AD$114+'[58]Biểu 21. Y tế (Y TẾ)'!$AD$115</f>
        <v>70000</v>
      </c>
      <c r="R205" s="1322"/>
      <c r="S205" s="1322"/>
      <c r="T205" s="1322"/>
      <c r="U205" s="1287">
        <v>1</v>
      </c>
    </row>
    <row r="206" spans="1:21" s="1286" customFormat="1" ht="20.25" customHeight="1">
      <c r="A206" s="484" t="s">
        <v>81</v>
      </c>
      <c r="B206" s="1317" t="s">
        <v>1151</v>
      </c>
      <c r="C206" s="484" t="s">
        <v>73</v>
      </c>
      <c r="D206" s="1338">
        <f t="shared" si="26"/>
        <v>8</v>
      </c>
      <c r="E206" s="1338">
        <f>+G206+I206+K206+M206+O206+Q206+S206</f>
        <v>28618</v>
      </c>
      <c r="F206" s="1319"/>
      <c r="G206" s="1319"/>
      <c r="H206" s="1319"/>
      <c r="I206" s="1319"/>
      <c r="J206" s="1319"/>
      <c r="K206" s="1319"/>
      <c r="L206" s="1319"/>
      <c r="M206" s="1319"/>
      <c r="N206" s="1319">
        <f>1+1+2</f>
        <v>4</v>
      </c>
      <c r="O206" s="1319">
        <f>YS!F29+YS!F50+YS!F68+YS!F84</f>
        <v>10618</v>
      </c>
      <c r="P206" s="1319">
        <v>4</v>
      </c>
      <c r="Q206" s="1319">
        <f>'[58]Biểu 21. Y tế (Y TẾ)'!$G$118+'[58]Biểu 21. Y tế (Y TẾ)'!$G$122+'[58]Biểu 21. Y tế (Y TẾ)'!$G$125+'[58]Biểu 21. Y tế (Y TẾ)'!$G$128</f>
        <v>18000</v>
      </c>
      <c r="R206" s="1319"/>
      <c r="S206" s="1319"/>
      <c r="T206" s="1319"/>
    </row>
    <row r="207" spans="1:21" s="1287" customFormat="1" ht="28.5" hidden="1" customHeight="1">
      <c r="A207" s="1348"/>
      <c r="B207" s="1347" t="s">
        <v>360</v>
      </c>
      <c r="C207" s="1348"/>
      <c r="D207" s="1350"/>
      <c r="E207" s="1350">
        <f>+G207+I207+K207+M207+O207+Q207+S207</f>
        <v>28618</v>
      </c>
      <c r="F207" s="1322"/>
      <c r="G207" s="1322"/>
      <c r="H207" s="1322"/>
      <c r="I207" s="1322"/>
      <c r="J207" s="1322"/>
      <c r="K207" s="1322"/>
      <c r="L207" s="1322"/>
      <c r="M207" s="1322"/>
      <c r="N207" s="1322"/>
      <c r="O207" s="1322">
        <f>YS!S29+YS!S50+YS!F84+YS!F68</f>
        <v>10618</v>
      </c>
      <c r="P207" s="1322"/>
      <c r="Q207" s="1322">
        <f>'[58]Biểu 21. Y tế (Y TẾ)'!$Y$118+'[58]Biểu 21. Y tế (Y TẾ)'!$Y$122+'[58]Biểu 21. Y tế (Y TẾ)'!$Y$125+'[58]Biểu 21. Y tế (Y TẾ)'!$Y$128</f>
        <v>18000</v>
      </c>
      <c r="R207" s="1322"/>
      <c r="S207" s="1322"/>
      <c r="T207" s="1322"/>
      <c r="U207" s="1287">
        <v>1</v>
      </c>
    </row>
    <row r="208" spans="1:21" s="1286" customFormat="1" ht="21.75" customHeight="1">
      <c r="A208" s="484" t="s">
        <v>81</v>
      </c>
      <c r="B208" s="1317" t="s">
        <v>198</v>
      </c>
      <c r="C208" s="484" t="s">
        <v>73</v>
      </c>
      <c r="D208" s="1338">
        <f t="shared" si="26"/>
        <v>4</v>
      </c>
      <c r="E208" s="1338">
        <f>+G208+I208+K208+M208+O208+Q208+S208</f>
        <v>2000</v>
      </c>
      <c r="F208" s="1319"/>
      <c r="G208" s="1319"/>
      <c r="H208" s="1319"/>
      <c r="I208" s="1319"/>
      <c r="J208" s="1319"/>
      <c r="K208" s="1319"/>
      <c r="L208" s="1319"/>
      <c r="M208" s="1319"/>
      <c r="N208" s="1319"/>
      <c r="O208" s="1319"/>
      <c r="P208" s="1319">
        <v>4</v>
      </c>
      <c r="Q208" s="1319">
        <f>'[58]Biểu 21. Y tế (Y TẾ)'!$G$129+'[58]Biểu 21. Y tế (Y TẾ)'!$G$126+'[58]Biểu 21. Y tế (Y TẾ)'!$G$123+'[58]Biểu 21. Y tế (Y TẾ)'!$G$119</f>
        <v>2000</v>
      </c>
      <c r="R208" s="1319"/>
      <c r="S208" s="1319"/>
      <c r="T208" s="1319"/>
    </row>
    <row r="209" spans="1:21" s="1287" customFormat="1" ht="26.25" hidden="1" customHeight="1">
      <c r="A209" s="1348"/>
      <c r="B209" s="1347" t="s">
        <v>360</v>
      </c>
      <c r="C209" s="1348"/>
      <c r="D209" s="1350"/>
      <c r="E209" s="1350"/>
      <c r="F209" s="1322"/>
      <c r="G209" s="1322"/>
      <c r="H209" s="1322"/>
      <c r="I209" s="1322"/>
      <c r="J209" s="1322"/>
      <c r="K209" s="1322"/>
      <c r="L209" s="1322"/>
      <c r="M209" s="1322"/>
      <c r="N209" s="1322"/>
      <c r="O209" s="1322"/>
      <c r="P209" s="1322"/>
      <c r="Q209" s="1322">
        <f>'[58]Biểu 21. Y tế (Y TẾ)'!$Y$119+'[58]Biểu 21. Y tế (Y TẾ)'!$Y$123+'[58]Biểu 21. Y tế (Y TẾ)'!$Y$126+'[58]Biểu 21. Y tế (Y TẾ)'!$Y$129</f>
        <v>2000</v>
      </c>
      <c r="R209" s="1322"/>
      <c r="S209" s="1322"/>
      <c r="T209" s="1322"/>
      <c r="U209" s="1287">
        <v>1</v>
      </c>
    </row>
    <row r="210" spans="1:21" s="1314" customFormat="1" ht="21.75" customHeight="1">
      <c r="A210" s="1339">
        <v>2</v>
      </c>
      <c r="B210" s="1340" t="s">
        <v>85</v>
      </c>
      <c r="C210" s="1339" t="s">
        <v>65</v>
      </c>
      <c r="D210" s="1338">
        <f t="shared" si="26"/>
        <v>0</v>
      </c>
      <c r="E210" s="1338">
        <f>+G210+I210+K210+M210+O210+Q210+S210</f>
        <v>189160.08000000002</v>
      </c>
      <c r="F210" s="1342"/>
      <c r="G210" s="1342">
        <f>G211+G221+G226+G229+G232+G233+G236+G238+G241+G243+G248+G251+G253+G254+G256</f>
        <v>11062.48</v>
      </c>
      <c r="H210" s="1342"/>
      <c r="I210" s="1342">
        <f t="shared" ref="I210:Q210" si="27">I211+I221+I226+I229+I232+I233+I236+I238+I241+I243+I248+I251+I253+I254+I256</f>
        <v>9965.6</v>
      </c>
      <c r="J210" s="1342"/>
      <c r="K210" s="1342">
        <f t="shared" si="27"/>
        <v>2190</v>
      </c>
      <c r="L210" s="1342"/>
      <c r="M210" s="1342">
        <f t="shared" si="27"/>
        <v>57220</v>
      </c>
      <c r="N210" s="1342"/>
      <c r="O210" s="1342">
        <f t="shared" si="27"/>
        <v>5400</v>
      </c>
      <c r="P210" s="1342"/>
      <c r="Q210" s="1342">
        <f t="shared" si="27"/>
        <v>103322</v>
      </c>
      <c r="R210" s="1342"/>
      <c r="S210" s="1342">
        <f>S211+S226+S229+S232+S233+S236+S238+S241+S243+S248+S251+S253+S256</f>
        <v>0</v>
      </c>
      <c r="T210" s="1319"/>
    </row>
    <row r="211" spans="1:21" s="1286" customFormat="1" ht="27" customHeight="1">
      <c r="A211" s="1343" t="s">
        <v>81</v>
      </c>
      <c r="B211" s="1317" t="s">
        <v>1048</v>
      </c>
      <c r="C211" s="484" t="s">
        <v>71</v>
      </c>
      <c r="D211" s="1338">
        <f t="shared" si="26"/>
        <v>26</v>
      </c>
      <c r="E211" s="1338">
        <f>+G211+I211+K211+M211+O211+Q211+S211</f>
        <v>35958.479999999996</v>
      </c>
      <c r="F211" s="1319">
        <f>LB!D54+1+3</f>
        <v>5</v>
      </c>
      <c r="G211" s="1319">
        <f>G218+G219+'DT GNBV'!L72+'[59]B2 (DA12023)'!$V$24+'[59]B2 (DA12023)'!$V$25+'[59]B2 (DA12023)'!$V$27</f>
        <v>9146.48</v>
      </c>
      <c r="H211" s="1319">
        <f>1+4+3+1</f>
        <v>9</v>
      </c>
      <c r="I211" s="1319">
        <f>I214+I215+I216</f>
        <v>8622</v>
      </c>
      <c r="J211" s="1319">
        <f>1+1</f>
        <v>2</v>
      </c>
      <c r="K211" s="1319">
        <f>K212+K218+NTM!H111+'[59]B5 (DA42023)'!$V$205</f>
        <v>570</v>
      </c>
      <c r="L211" s="1319">
        <f>2+1+1</f>
        <v>4</v>
      </c>
      <c r="M211" s="1319">
        <f>HY!E76+HY!E135+M221+4020</f>
        <v>9520</v>
      </c>
      <c r="N211" s="1319">
        <v>2</v>
      </c>
      <c r="O211" s="1319">
        <f>'[59]B2 (DA12023)'!$V$52+'[59]B2 (DA12023)'!$V$54</f>
        <v>3000</v>
      </c>
      <c r="P211" s="1319">
        <v>4</v>
      </c>
      <c r="Q211" s="1319">
        <f>'[58]Biểu 22. Môi trường+Nước sạch'!$G$173+'[58]Biểu 22. Môi trường+Nước sạch'!$G$182+'[58]Biểu 22. Môi trường+Nước sạch'!$G$187+'[58]Biểu 22. Môi trường+Nước sạch'!$G$195</f>
        <v>5100</v>
      </c>
      <c r="R211" s="1319"/>
      <c r="S211" s="1319"/>
      <c r="T211" s="1329"/>
    </row>
    <row r="212" spans="1:21" s="1287" customFormat="1" ht="19.5" hidden="1" customHeight="1">
      <c r="A212" s="1346"/>
      <c r="B212" s="1347" t="s">
        <v>1154</v>
      </c>
      <c r="C212" s="1348"/>
      <c r="D212" s="1350">
        <f t="shared" si="26"/>
        <v>0</v>
      </c>
      <c r="E212" s="1350">
        <f>+G212+I212+K212+M212+O212+Q212+S212</f>
        <v>6020</v>
      </c>
      <c r="F212" s="1322"/>
      <c r="G212" s="1322"/>
      <c r="H212" s="1322"/>
      <c r="I212" s="1322"/>
      <c r="J212" s="1322"/>
      <c r="K212" s="1322">
        <f>CH!J28</f>
        <v>0</v>
      </c>
      <c r="L212" s="1322"/>
      <c r="M212" s="1322">
        <f>HY!H135+M222+M221+4020</f>
        <v>6020</v>
      </c>
      <c r="N212" s="1322"/>
      <c r="O212" s="1322"/>
      <c r="P212" s="1322"/>
      <c r="Q212" s="1322"/>
      <c r="R212" s="1322"/>
      <c r="S212" s="1322"/>
      <c r="T212" s="1327"/>
      <c r="U212" s="1287">
        <v>2</v>
      </c>
    </row>
    <row r="213" spans="1:21" s="1287" customFormat="1" ht="19.5" hidden="1" customHeight="1">
      <c r="A213" s="1346"/>
      <c r="B213" s="1347" t="s">
        <v>867</v>
      </c>
      <c r="C213" s="1348"/>
      <c r="D213" s="1350"/>
      <c r="E213" s="1350"/>
      <c r="F213" s="1322"/>
      <c r="G213" s="1322"/>
      <c r="H213" s="1322"/>
      <c r="I213" s="1322"/>
      <c r="J213" s="1322"/>
      <c r="K213" s="1322">
        <f>NTM!H111</f>
        <v>500</v>
      </c>
      <c r="L213" s="1322"/>
      <c r="M213" s="1322"/>
      <c r="N213" s="1322"/>
      <c r="O213" s="1322"/>
      <c r="P213" s="1322"/>
      <c r="Q213" s="1322"/>
      <c r="R213" s="1322"/>
      <c r="S213" s="1322"/>
      <c r="T213" s="1327"/>
      <c r="U213" s="1287">
        <v>1</v>
      </c>
    </row>
    <row r="214" spans="1:21" s="1287" customFormat="1" ht="19.5" hidden="1" customHeight="1">
      <c r="A214" s="1346"/>
      <c r="B214" s="1347" t="s">
        <v>1026</v>
      </c>
      <c r="C214" s="1348"/>
      <c r="D214" s="1350"/>
      <c r="E214" s="1350"/>
      <c r="F214" s="1322"/>
      <c r="G214" s="1322">
        <f>'DT GNBV'!M72</f>
        <v>1500</v>
      </c>
      <c r="H214" s="1322"/>
      <c r="I214" s="1322">
        <f>I223+900</f>
        <v>900</v>
      </c>
      <c r="J214" s="1322"/>
      <c r="K214" s="1322"/>
      <c r="L214" s="1322"/>
      <c r="M214" s="1322"/>
      <c r="N214" s="1322"/>
      <c r="O214" s="1322"/>
      <c r="P214" s="1322"/>
      <c r="Q214" s="1322"/>
      <c r="R214" s="1322"/>
      <c r="S214" s="1322"/>
      <c r="T214" s="1327"/>
      <c r="U214" s="1287">
        <v>1</v>
      </c>
    </row>
    <row r="215" spans="1:21" s="1287" customFormat="1" ht="19.5" hidden="1" customHeight="1">
      <c r="A215" s="1346"/>
      <c r="B215" s="1347" t="s">
        <v>1036</v>
      </c>
      <c r="C215" s="1348"/>
      <c r="D215" s="1350"/>
      <c r="E215" s="1350"/>
      <c r="F215" s="1322"/>
      <c r="G215" s="1322">
        <f>'[59]B2 (DA12023)'!$W$24+'[59]B2 (DA12023)'!$W$25+'[59]B2 (DA12023)'!$W$27</f>
        <v>6000</v>
      </c>
      <c r="H215" s="1322"/>
      <c r="I215" s="1322">
        <f>'[59]B5 (DA42023)'!$W$96+'[59]B5 (DA42023)'!$W$71+'[59]B5 (DA42023)'!$W$72+'[59]B2 (DA12023)'!$W$34+'[59]B2 (DA12023)'!$W$35+'[59]B2 (DA12023)'!$W$36+'[59]B2 (DA12023)'!$W$38</f>
        <v>7695</v>
      </c>
      <c r="J215" s="1322"/>
      <c r="K215" s="1322">
        <f>'[59]B5 (DA42023)'!$W$205</f>
        <v>70</v>
      </c>
      <c r="L215" s="1322"/>
      <c r="M215" s="1322"/>
      <c r="N215" s="1322"/>
      <c r="O215" s="1322">
        <f>'[59]B2 (DA12023)'!$W$52+'[59]B2 (DA12023)'!$W$54</f>
        <v>3000</v>
      </c>
      <c r="P215" s="1322"/>
      <c r="Q215" s="1322">
        <f>'[58]Biểu 22. Môi trường+Nước sạch'!$K$182</f>
        <v>3000</v>
      </c>
      <c r="R215" s="1322"/>
      <c r="S215" s="1322"/>
      <c r="T215" s="1327"/>
      <c r="U215" s="1287">
        <v>1</v>
      </c>
    </row>
    <row r="216" spans="1:21" s="1287" customFormat="1" ht="19.5" hidden="1" customHeight="1">
      <c r="A216" s="1346"/>
      <c r="B216" s="1347" t="s">
        <v>1154</v>
      </c>
      <c r="C216" s="1348"/>
      <c r="D216" s="1350"/>
      <c r="E216" s="1350"/>
      <c r="F216" s="1322"/>
      <c r="G216" s="1322">
        <f>'DT GNBV'!N72</f>
        <v>45</v>
      </c>
      <c r="H216" s="1322"/>
      <c r="I216" s="1322">
        <f>I224+27</f>
        <v>27</v>
      </c>
      <c r="J216" s="1322"/>
      <c r="K216" s="1322"/>
      <c r="L216" s="1322"/>
      <c r="M216" s="1322"/>
      <c r="N216" s="1322"/>
      <c r="O216" s="1322"/>
      <c r="P216" s="1322"/>
      <c r="Q216" s="1322"/>
      <c r="R216" s="1322"/>
      <c r="S216" s="1322"/>
      <c r="T216" s="1327"/>
      <c r="U216" s="1287">
        <v>2</v>
      </c>
    </row>
    <row r="217" spans="1:21" s="1287" customFormat="1" ht="19.5" hidden="1" customHeight="1">
      <c r="A217" s="1346"/>
      <c r="B217" s="1347" t="s">
        <v>1154</v>
      </c>
      <c r="C217" s="1348"/>
      <c r="D217" s="1350"/>
      <c r="E217" s="1350"/>
      <c r="F217" s="1322"/>
      <c r="G217" s="1322"/>
      <c r="H217" s="1322"/>
      <c r="I217" s="1322"/>
      <c r="J217" s="1322"/>
      <c r="K217" s="1322"/>
      <c r="L217" s="1322"/>
      <c r="M217" s="1322"/>
      <c r="N217" s="1322"/>
      <c r="O217" s="1322"/>
      <c r="P217" s="1322"/>
      <c r="Q217" s="1322">
        <f>'[58]Biểu 22. Môi trường+Nước sạch'!$AE$187+'[58]Biểu 22. Môi trường+Nước sạch'!$AE$173+'[58]Biểu 22. Môi trường+Nước sạch'!$AE$195</f>
        <v>2100</v>
      </c>
      <c r="R217" s="1322"/>
      <c r="S217" s="1322"/>
      <c r="T217" s="1327"/>
      <c r="U217" s="1287">
        <v>2</v>
      </c>
    </row>
    <row r="218" spans="1:21" s="1287" customFormat="1" ht="19.5" hidden="1" customHeight="1">
      <c r="A218" s="1346"/>
      <c r="B218" s="1347" t="s">
        <v>1154</v>
      </c>
      <c r="C218" s="1348"/>
      <c r="D218" s="1350">
        <f t="shared" si="26"/>
        <v>0</v>
      </c>
      <c r="E218" s="1350">
        <f>+G218+I218+K218+M218+O218+Q218+S218</f>
        <v>537.48</v>
      </c>
      <c r="F218" s="1322"/>
      <c r="G218" s="1322">
        <f>LB!M54</f>
        <v>537.48</v>
      </c>
      <c r="H218" s="1322"/>
      <c r="I218" s="1322"/>
      <c r="J218" s="1322"/>
      <c r="K218" s="1322">
        <f>CH!N28</f>
        <v>0</v>
      </c>
      <c r="L218" s="1322"/>
      <c r="M218" s="1322"/>
      <c r="N218" s="1322"/>
      <c r="O218" s="1322"/>
      <c r="P218" s="1322"/>
      <c r="Q218" s="1322"/>
      <c r="R218" s="1322"/>
      <c r="S218" s="1322"/>
      <c r="T218" s="1322"/>
      <c r="U218" s="1287">
        <v>2</v>
      </c>
    </row>
    <row r="219" spans="1:21" s="1287" customFormat="1" ht="19.5" hidden="1" customHeight="1">
      <c r="A219" s="1346"/>
      <c r="B219" s="1347" t="s">
        <v>518</v>
      </c>
      <c r="C219" s="1348"/>
      <c r="D219" s="1350">
        <f t="shared" si="26"/>
        <v>0</v>
      </c>
      <c r="E219" s="1350">
        <f>+G219+I219+K219+M219+O219+Q219+S219</f>
        <v>1064</v>
      </c>
      <c r="F219" s="1322"/>
      <c r="G219" s="1322">
        <f>LB!N54</f>
        <v>1064</v>
      </c>
      <c r="H219" s="1322"/>
      <c r="I219" s="1322"/>
      <c r="J219" s="1322"/>
      <c r="K219" s="1322"/>
      <c r="L219" s="1322"/>
      <c r="M219" s="1322"/>
      <c r="N219" s="1322"/>
      <c r="O219" s="1322"/>
      <c r="P219" s="1322"/>
      <c r="Q219" s="1322"/>
      <c r="R219" s="1322"/>
      <c r="S219" s="1322"/>
      <c r="T219" s="1322"/>
      <c r="U219" s="1287">
        <v>1</v>
      </c>
    </row>
    <row r="220" spans="1:21" s="1287" customFormat="1" ht="19.5" hidden="1" customHeight="1">
      <c r="A220" s="1346"/>
      <c r="B220" s="1347" t="s">
        <v>1154</v>
      </c>
      <c r="C220" s="1348"/>
      <c r="D220" s="1350"/>
      <c r="E220" s="1350"/>
      <c r="F220" s="1322"/>
      <c r="G220" s="1322"/>
      <c r="H220" s="1322"/>
      <c r="I220" s="1322"/>
      <c r="J220" s="1322"/>
      <c r="K220" s="1322"/>
      <c r="L220" s="1322"/>
      <c r="M220" s="1322">
        <f>HY!M76</f>
        <v>3500</v>
      </c>
      <c r="N220" s="1322"/>
      <c r="O220" s="1322"/>
      <c r="P220" s="1322"/>
      <c r="Q220" s="1322"/>
      <c r="R220" s="1322"/>
      <c r="S220" s="1322"/>
      <c r="T220" s="1322"/>
      <c r="U220" s="1287">
        <v>2</v>
      </c>
    </row>
    <row r="221" spans="1:21" s="1286" customFormat="1" ht="21" hidden="1" customHeight="1">
      <c r="A221" s="1343" t="s">
        <v>81</v>
      </c>
      <c r="B221" s="1317" t="s">
        <v>474</v>
      </c>
      <c r="C221" s="484" t="s">
        <v>71</v>
      </c>
      <c r="D221" s="1338"/>
      <c r="E221" s="1338"/>
      <c r="F221" s="1319"/>
      <c r="G221" s="1319"/>
      <c r="H221" s="1319"/>
      <c r="I221" s="1319"/>
      <c r="J221" s="1317"/>
      <c r="K221" s="1317"/>
      <c r="L221" s="1319"/>
      <c r="M221" s="1319"/>
      <c r="N221" s="1319"/>
      <c r="O221" s="1319"/>
      <c r="P221" s="1319"/>
      <c r="Q221" s="1319"/>
      <c r="R221" s="1319"/>
      <c r="S221" s="1319"/>
      <c r="T221" s="1319"/>
    </row>
    <row r="222" spans="1:21" s="1287" customFormat="1" ht="21" hidden="1" customHeight="1">
      <c r="A222" s="1346"/>
      <c r="B222" s="1347" t="s">
        <v>1154</v>
      </c>
      <c r="C222" s="1348"/>
      <c r="D222" s="1350"/>
      <c r="E222" s="1350"/>
      <c r="F222" s="1322"/>
      <c r="G222" s="1322"/>
      <c r="H222" s="1322"/>
      <c r="I222" s="1322"/>
      <c r="J222" s="1347"/>
      <c r="K222" s="1347"/>
      <c r="L222" s="1322"/>
      <c r="M222" s="1322"/>
      <c r="N222" s="1322"/>
      <c r="O222" s="1322"/>
      <c r="P222" s="1322"/>
      <c r="Q222" s="1322"/>
      <c r="R222" s="1322"/>
      <c r="S222" s="1322"/>
      <c r="T222" s="1322"/>
      <c r="U222" s="1287">
        <v>2</v>
      </c>
    </row>
    <row r="223" spans="1:21" s="1287" customFormat="1" ht="21" hidden="1" customHeight="1">
      <c r="A223" s="1346"/>
      <c r="B223" s="1347" t="s">
        <v>1026</v>
      </c>
      <c r="C223" s="1348"/>
      <c r="D223" s="1350"/>
      <c r="E223" s="1350"/>
      <c r="F223" s="1322"/>
      <c r="G223" s="1322"/>
      <c r="H223" s="1322"/>
      <c r="I223" s="1322"/>
      <c r="J223" s="1347"/>
      <c r="K223" s="1347"/>
      <c r="L223" s="1322"/>
      <c r="M223" s="1322"/>
      <c r="N223" s="1322"/>
      <c r="O223" s="1322"/>
      <c r="P223" s="1322"/>
      <c r="Q223" s="1322"/>
      <c r="R223" s="1322"/>
      <c r="S223" s="1322"/>
      <c r="T223" s="1322"/>
      <c r="U223" s="1287">
        <v>1</v>
      </c>
    </row>
    <row r="224" spans="1:21" s="1287" customFormat="1" ht="21" hidden="1" customHeight="1">
      <c r="A224" s="1346"/>
      <c r="B224" s="1347" t="s">
        <v>1154</v>
      </c>
      <c r="C224" s="1348"/>
      <c r="D224" s="1350"/>
      <c r="E224" s="1350"/>
      <c r="F224" s="1322"/>
      <c r="G224" s="1322"/>
      <c r="H224" s="1322"/>
      <c r="I224" s="1322"/>
      <c r="J224" s="1347"/>
      <c r="K224" s="1347"/>
      <c r="L224" s="1322"/>
      <c r="M224" s="1322"/>
      <c r="N224" s="1322"/>
      <c r="O224" s="1322"/>
      <c r="P224" s="1322"/>
      <c r="Q224" s="1322"/>
      <c r="R224" s="1322"/>
      <c r="S224" s="1322"/>
      <c r="T224" s="1322"/>
      <c r="U224" s="1287">
        <v>2</v>
      </c>
    </row>
    <row r="225" spans="1:21" s="1287" customFormat="1" ht="21" hidden="1" customHeight="1">
      <c r="A225" s="1346"/>
      <c r="B225" s="1347" t="s">
        <v>1154</v>
      </c>
      <c r="C225" s="1348"/>
      <c r="D225" s="1350"/>
      <c r="E225" s="1350"/>
      <c r="F225" s="1322"/>
      <c r="G225" s="1322"/>
      <c r="H225" s="1322"/>
      <c r="I225" s="1322"/>
      <c r="J225" s="1347"/>
      <c r="K225" s="1347"/>
      <c r="L225" s="1322"/>
      <c r="M225" s="1322"/>
      <c r="N225" s="1322"/>
      <c r="O225" s="1322"/>
      <c r="P225" s="1322"/>
      <c r="Q225" s="1322"/>
      <c r="R225" s="1322"/>
      <c r="S225" s="1322"/>
      <c r="T225" s="1322"/>
      <c r="U225" s="1287">
        <v>2</v>
      </c>
    </row>
    <row r="226" spans="1:21" s="1286" customFormat="1" ht="21.75" customHeight="1">
      <c r="A226" s="1343" t="s">
        <v>81</v>
      </c>
      <c r="B226" s="1317" t="s">
        <v>114</v>
      </c>
      <c r="C226" s="484" t="s">
        <v>71</v>
      </c>
      <c r="D226" s="1338">
        <f>+F226+H226+J226+L226+N226+P226+R226</f>
        <v>146</v>
      </c>
      <c r="E226" s="1338">
        <f>+G226+I226+K226+M226+O226+Q226+S226</f>
        <v>933</v>
      </c>
      <c r="F226" s="1319">
        <f>LB!D55</f>
        <v>75</v>
      </c>
      <c r="G226" s="1319">
        <f>LB!E55</f>
        <v>750</v>
      </c>
      <c r="H226" s="1319">
        <v>71</v>
      </c>
      <c r="I226" s="1319">
        <v>183</v>
      </c>
      <c r="J226" s="1319"/>
      <c r="K226" s="1319"/>
      <c r="L226" s="1319"/>
      <c r="M226" s="1319">
        <f>+L226*1.5</f>
        <v>0</v>
      </c>
      <c r="N226" s="1319"/>
      <c r="O226" s="1319">
        <f>+N226*1.5</f>
        <v>0</v>
      </c>
      <c r="P226" s="1319"/>
      <c r="Q226" s="1319">
        <f>+P226*1.5</f>
        <v>0</v>
      </c>
      <c r="R226" s="1319"/>
      <c r="S226" s="1319"/>
      <c r="T226" s="1319"/>
    </row>
    <row r="227" spans="1:21" s="1287" customFormat="1" ht="21.75" hidden="1" customHeight="1">
      <c r="A227" s="1346"/>
      <c r="B227" s="1347" t="s">
        <v>1154</v>
      </c>
      <c r="C227" s="1348"/>
      <c r="D227" s="1350"/>
      <c r="E227" s="1350"/>
      <c r="F227" s="1322"/>
      <c r="G227" s="1322">
        <f>LB!O55</f>
        <v>375</v>
      </c>
      <c r="H227" s="1322"/>
      <c r="I227" s="1322">
        <f>I226/2</f>
        <v>91.5</v>
      </c>
      <c r="J227" s="1322"/>
      <c r="K227" s="1322"/>
      <c r="L227" s="1322"/>
      <c r="M227" s="1322"/>
      <c r="N227" s="1322"/>
      <c r="O227" s="1322"/>
      <c r="P227" s="1322"/>
      <c r="Q227" s="1322"/>
      <c r="R227" s="1322"/>
      <c r="S227" s="1322"/>
      <c r="T227" s="1322"/>
      <c r="U227" s="1287">
        <v>2</v>
      </c>
    </row>
    <row r="228" spans="1:21" s="1287" customFormat="1" ht="21.75" hidden="1" customHeight="1">
      <c r="A228" s="1346"/>
      <c r="B228" s="1347" t="s">
        <v>127</v>
      </c>
      <c r="C228" s="1348"/>
      <c r="D228" s="1350"/>
      <c r="E228" s="1350"/>
      <c r="F228" s="1322"/>
      <c r="G228" s="1322">
        <f>LB!P55</f>
        <v>375</v>
      </c>
      <c r="H228" s="1322"/>
      <c r="I228" s="1322">
        <f>I226-I227</f>
        <v>91.5</v>
      </c>
      <c r="J228" s="1322"/>
      <c r="K228" s="1322"/>
      <c r="L228" s="1322"/>
      <c r="M228" s="1322"/>
      <c r="N228" s="1322"/>
      <c r="O228" s="1322"/>
      <c r="P228" s="1322"/>
      <c r="Q228" s="1322"/>
      <c r="R228" s="1322"/>
      <c r="S228" s="1322"/>
      <c r="T228" s="1322"/>
      <c r="U228" s="1287">
        <v>1</v>
      </c>
    </row>
    <row r="229" spans="1:21" s="1286" customFormat="1" ht="21.75" customHeight="1">
      <c r="A229" s="1343" t="s">
        <v>81</v>
      </c>
      <c r="B229" s="1317" t="s">
        <v>115</v>
      </c>
      <c r="C229" s="484" t="s">
        <v>71</v>
      </c>
      <c r="D229" s="1338">
        <f>+F229+H229+J229+L229+N229+P229+R229</f>
        <v>245</v>
      </c>
      <c r="E229" s="1338">
        <f>+G229+I229+K229+M229+O229+Q229+S229</f>
        <v>1809.6</v>
      </c>
      <c r="F229" s="1319">
        <f>LB!D56</f>
        <v>75</v>
      </c>
      <c r="G229" s="1319">
        <f>LB!E56</f>
        <v>750</v>
      </c>
      <c r="H229" s="1319">
        <v>88</v>
      </c>
      <c r="I229" s="1319">
        <v>239.6</v>
      </c>
      <c r="J229" s="1319"/>
      <c r="K229" s="1319"/>
      <c r="L229" s="1319"/>
      <c r="M229" s="1319">
        <f>+L229*5.5</f>
        <v>0</v>
      </c>
      <c r="N229" s="1319"/>
      <c r="O229" s="1319">
        <f>+N229*5.5</f>
        <v>0</v>
      </c>
      <c r="P229" s="1319">
        <v>82</v>
      </c>
      <c r="Q229" s="1319">
        <f>'[58]Biểu 22. Môi trường+Nước sạch'!$G$202</f>
        <v>820</v>
      </c>
      <c r="R229" s="1319"/>
      <c r="S229" s="1319"/>
      <c r="T229" s="1319"/>
    </row>
    <row r="230" spans="1:21" s="1287" customFormat="1" ht="21.75" hidden="1" customHeight="1">
      <c r="A230" s="1346"/>
      <c r="B230" s="1347" t="s">
        <v>520</v>
      </c>
      <c r="C230" s="1348"/>
      <c r="D230" s="1350"/>
      <c r="E230" s="1350"/>
      <c r="F230" s="1322"/>
      <c r="G230" s="1322">
        <f>LB!K56</f>
        <v>375</v>
      </c>
      <c r="H230" s="1322"/>
      <c r="I230" s="1322">
        <f>I229/2</f>
        <v>119.8</v>
      </c>
      <c r="J230" s="1322"/>
      <c r="K230" s="1322"/>
      <c r="L230" s="1322"/>
      <c r="M230" s="1322"/>
      <c r="N230" s="1322"/>
      <c r="O230" s="1322"/>
      <c r="P230" s="1322"/>
      <c r="Q230" s="1322">
        <f>'[58]Biểu 22. Môi trường+Nước sạch'!$Q$202</f>
        <v>410</v>
      </c>
      <c r="R230" s="1322"/>
      <c r="S230" s="1322"/>
      <c r="T230" s="1322"/>
      <c r="U230" s="1287">
        <v>1</v>
      </c>
    </row>
    <row r="231" spans="1:21" s="1287" customFormat="1" ht="21.75" hidden="1" customHeight="1">
      <c r="A231" s="1346"/>
      <c r="B231" s="1347" t="s">
        <v>127</v>
      </c>
      <c r="C231" s="1348"/>
      <c r="D231" s="1350"/>
      <c r="E231" s="1350"/>
      <c r="F231" s="1322"/>
      <c r="G231" s="1322">
        <f>LB!P56</f>
        <v>375</v>
      </c>
      <c r="H231" s="1322"/>
      <c r="I231" s="1322">
        <f>I229-I230</f>
        <v>119.8</v>
      </c>
      <c r="J231" s="1322"/>
      <c r="K231" s="1322"/>
      <c r="L231" s="1322"/>
      <c r="M231" s="1322"/>
      <c r="N231" s="1322"/>
      <c r="O231" s="1322"/>
      <c r="P231" s="1322"/>
      <c r="Q231" s="1322">
        <f>Q230</f>
        <v>410</v>
      </c>
      <c r="R231" s="1322"/>
      <c r="S231" s="1322"/>
      <c r="T231" s="1322"/>
      <c r="U231" s="1287">
        <v>1</v>
      </c>
    </row>
    <row r="232" spans="1:21" s="1286" customFormat="1" ht="21.75" customHeight="1">
      <c r="A232" s="1343" t="s">
        <v>81</v>
      </c>
      <c r="B232" s="1317" t="s">
        <v>116</v>
      </c>
      <c r="C232" s="484" t="s">
        <v>71</v>
      </c>
      <c r="D232" s="1338">
        <f>+F232+H232+J232+L232+N232+P232+R232</f>
        <v>26</v>
      </c>
      <c r="E232" s="1338">
        <f>+G232+I232+K232+M232+O232+Q232+S232</f>
        <v>156</v>
      </c>
      <c r="F232" s="1319">
        <f>LB!D51</f>
        <v>26</v>
      </c>
      <c r="G232" s="1319">
        <f>LB!E51</f>
        <v>156</v>
      </c>
      <c r="H232" s="1319"/>
      <c r="I232" s="1319">
        <f>+H232*6.5</f>
        <v>0</v>
      </c>
      <c r="J232" s="1319"/>
      <c r="K232" s="1319"/>
      <c r="L232" s="1319"/>
      <c r="M232" s="1319">
        <f>+L232*6.5</f>
        <v>0</v>
      </c>
      <c r="N232" s="1319"/>
      <c r="O232" s="1319">
        <f>+N232*6.5</f>
        <v>0</v>
      </c>
      <c r="P232" s="1319"/>
      <c r="Q232" s="1319"/>
      <c r="R232" s="1319"/>
      <c r="S232" s="1319"/>
      <c r="T232" s="1322"/>
      <c r="U232" s="1286">
        <v>1</v>
      </c>
    </row>
    <row r="233" spans="1:21" s="1286" customFormat="1" ht="21.75" customHeight="1">
      <c r="A233" s="1343" t="s">
        <v>81</v>
      </c>
      <c r="B233" s="1317" t="s">
        <v>472</v>
      </c>
      <c r="C233" s="484" t="s">
        <v>71</v>
      </c>
      <c r="D233" s="1338">
        <f>+F233+H233+J233+L233+N233+P233+R233</f>
        <v>553</v>
      </c>
      <c r="E233" s="1338">
        <f>+G233+I233+K233+M233+O233+Q233+S233</f>
        <v>5530</v>
      </c>
      <c r="F233" s="1319">
        <f>LB!D52</f>
        <v>26</v>
      </c>
      <c r="G233" s="1319">
        <f>LB!E52</f>
        <v>260</v>
      </c>
      <c r="H233" s="1319"/>
      <c r="I233" s="1319"/>
      <c r="J233" s="1319">
        <f>CH!D71</f>
        <v>72</v>
      </c>
      <c r="K233" s="1319">
        <f>+J233*10</f>
        <v>720</v>
      </c>
      <c r="L233" s="1319"/>
      <c r="M233" s="1319"/>
      <c r="N233" s="1319">
        <f>YS!E32+160</f>
        <v>200</v>
      </c>
      <c r="O233" s="1319">
        <f>N233*10</f>
        <v>2000</v>
      </c>
      <c r="P233" s="1319">
        <f>'[58]Biểu 22. Môi trường+Nước sạch'!$D$217+'[58]Biểu 22. Môi trường+Nước sạch'!$D$211+'[58]Biểu 22. Môi trường+Nước sạch'!$D$193+'[58]Biểu 22. Môi trường+Nước sạch'!$D$192+'[58]Biểu 22. Môi trường+Nước sạch'!$D$179</f>
        <v>255</v>
      </c>
      <c r="Q233" s="1319">
        <f>'[58]Biểu 22. Môi trường+Nước sạch'!$G$179+'[58]Biểu 22. Môi trường+Nước sạch'!$G$192+'[58]Biểu 22. Môi trường+Nước sạch'!$G$193+'[58]Biểu 22. Môi trường+Nước sạch'!$G$211+'[58]Biểu 22. Môi trường+Nước sạch'!$G$217</f>
        <v>2550</v>
      </c>
      <c r="R233" s="1319"/>
      <c r="S233" s="1319"/>
      <c r="T233" s="1329"/>
    </row>
    <row r="234" spans="1:21" s="1287" customFormat="1" ht="21" hidden="1" customHeight="1">
      <c r="A234" s="1346"/>
      <c r="B234" s="1347" t="s">
        <v>520</v>
      </c>
      <c r="C234" s="1348"/>
      <c r="D234" s="1350"/>
      <c r="E234" s="1350"/>
      <c r="F234" s="1322"/>
      <c r="G234" s="1322">
        <f>LB!K52</f>
        <v>130</v>
      </c>
      <c r="H234" s="1322"/>
      <c r="I234" s="1322"/>
      <c r="J234" s="1322"/>
      <c r="K234" s="1322">
        <v>360</v>
      </c>
      <c r="L234" s="1322"/>
      <c r="M234" s="1322"/>
      <c r="N234" s="1322"/>
      <c r="O234" s="1322">
        <v>1000</v>
      </c>
      <c r="P234" s="1322"/>
      <c r="Q234" s="1322">
        <f>'[58]Biểu 22. Môi trường+Nước sạch'!$Q$179+'[58]Biểu 22. Môi trường+Nước sạch'!$Q$192+'[58]Biểu 22. Môi trường+Nước sạch'!$Q$193+'[58]Biểu 22. Môi trường+Nước sạch'!$Q$211+'[58]Biểu 22. Môi trường+Nước sạch'!$Q$217</f>
        <v>1275</v>
      </c>
      <c r="R234" s="1322"/>
      <c r="S234" s="1322"/>
      <c r="T234" s="1327"/>
      <c r="U234" s="1287">
        <v>1</v>
      </c>
    </row>
    <row r="235" spans="1:21" s="1287" customFormat="1" ht="21.75" hidden="1" customHeight="1">
      <c r="A235" s="1346"/>
      <c r="B235" s="1347" t="s">
        <v>127</v>
      </c>
      <c r="C235" s="1348"/>
      <c r="D235" s="1350"/>
      <c r="E235" s="1350"/>
      <c r="F235" s="1322"/>
      <c r="G235" s="1322">
        <f>LB!P52</f>
        <v>130</v>
      </c>
      <c r="H235" s="1322"/>
      <c r="I235" s="1322"/>
      <c r="J235" s="1322"/>
      <c r="K235" s="1322">
        <v>360</v>
      </c>
      <c r="L235" s="1322"/>
      <c r="M235" s="1322"/>
      <c r="N235" s="1322"/>
      <c r="O235" s="1322">
        <v>1000</v>
      </c>
      <c r="P235" s="1322"/>
      <c r="Q235" s="1322">
        <f>Q234</f>
        <v>1275</v>
      </c>
      <c r="R235" s="1322"/>
      <c r="S235" s="1322"/>
      <c r="T235" s="1327"/>
      <c r="U235" s="1287">
        <v>1</v>
      </c>
    </row>
    <row r="236" spans="1:21" s="1286" customFormat="1" ht="30" customHeight="1">
      <c r="A236" s="1343" t="s">
        <v>81</v>
      </c>
      <c r="B236" s="566" t="s">
        <v>1047</v>
      </c>
      <c r="C236" s="484" t="s">
        <v>447</v>
      </c>
      <c r="D236" s="1338">
        <f>+F236+H236+J236+L236+N236+P236+R236</f>
        <v>1392</v>
      </c>
      <c r="E236" s="1338">
        <f>+G236+I236+K236+M236+O236+Q236+S236</f>
        <v>1392</v>
      </c>
      <c r="F236" s="1319"/>
      <c r="G236" s="1319"/>
      <c r="H236" s="1319"/>
      <c r="I236" s="1319"/>
      <c r="J236" s="1319"/>
      <c r="K236" s="1319"/>
      <c r="L236" s="1319"/>
      <c r="M236" s="1319"/>
      <c r="N236" s="1319"/>
      <c r="O236" s="1319"/>
      <c r="P236" s="1319">
        <f>'[58]Biểu 22. Môi trường+Nước sạch'!$D$174+'[58]Biểu 22. Môi trường+Nước sạch'!$D$178+'[58]Biểu 22. Môi trường+Nước sạch'!$D$185+'[58]Biểu 22. Môi trường+Nước sạch'!$D$191++'[58]Biểu 22. Môi trường+Nước sạch'!$D$199+'[58]Biểu 22. Môi trường+Nước sạch'!$D$205+'[58]Biểu 22. Môi trường+Nước sạch'!$D$210+'[58]Biểu 22. Môi trường+Nước sạch'!$D$216</f>
        <v>1392</v>
      </c>
      <c r="Q236" s="1319">
        <f>'[58]Biểu 22. Môi trường+Nước sạch'!$G$174+'[58]Biểu 22. Môi trường+Nước sạch'!$G$178++'[58]Biểu 22. Môi trường+Nước sạch'!$G$185+'[58]Biểu 22. Môi trường+Nước sạch'!$G$191+'[58]Biểu 22. Môi trường+Nước sạch'!$G$199+'[58]Biểu 22. Môi trường+Nước sạch'!$G$205+'[58]Biểu 22. Môi trường+Nước sạch'!$G$210+'[58]Biểu 22. Môi trường+Nước sạch'!$G$216</f>
        <v>1392</v>
      </c>
      <c r="R236" s="1319"/>
      <c r="S236" s="1319"/>
      <c r="T236" s="1329"/>
    </row>
    <row r="237" spans="1:21" s="1287" customFormat="1" ht="21.75" hidden="1" customHeight="1">
      <c r="A237" s="1346"/>
      <c r="B237" s="1347" t="s">
        <v>1154</v>
      </c>
      <c r="C237" s="1348"/>
      <c r="D237" s="1350"/>
      <c r="E237" s="1350"/>
      <c r="F237" s="1322"/>
      <c r="G237" s="1322"/>
      <c r="H237" s="1322"/>
      <c r="I237" s="1322"/>
      <c r="J237" s="1322"/>
      <c r="K237" s="1322"/>
      <c r="L237" s="1322"/>
      <c r="M237" s="1322"/>
      <c r="N237" s="1322"/>
      <c r="O237" s="1322"/>
      <c r="P237" s="1322"/>
      <c r="Q237" s="1322">
        <f>Q236</f>
        <v>1392</v>
      </c>
      <c r="R237" s="1322"/>
      <c r="S237" s="1322"/>
      <c r="T237" s="1327"/>
      <c r="U237" s="1287">
        <v>2</v>
      </c>
    </row>
    <row r="238" spans="1:21" s="1286" customFormat="1" ht="28.5" customHeight="1">
      <c r="A238" s="1343" t="s">
        <v>81</v>
      </c>
      <c r="B238" s="1317" t="s">
        <v>1046</v>
      </c>
      <c r="C238" s="484" t="s">
        <v>71</v>
      </c>
      <c r="D238" s="1338">
        <f>+F238+H238+J238+L238+N238+P238+R238</f>
        <v>1</v>
      </c>
      <c r="E238" s="1338">
        <f>+G238+I238+K238+M238+O238+Q238+S238</f>
        <v>12000</v>
      </c>
      <c r="F238" s="1319"/>
      <c r="G238" s="1319"/>
      <c r="H238" s="1319"/>
      <c r="I238" s="1319"/>
      <c r="J238" s="1319"/>
      <c r="K238" s="1319"/>
      <c r="L238" s="1319">
        <v>1</v>
      </c>
      <c r="M238" s="1319">
        <f>'TC huyen HY'!E23</f>
        <v>12000</v>
      </c>
      <c r="N238" s="1319"/>
      <c r="O238" s="1319"/>
      <c r="P238" s="1319"/>
      <c r="Q238" s="1319"/>
      <c r="R238" s="1319"/>
      <c r="S238" s="1319"/>
      <c r="T238" s="1329"/>
    </row>
    <row r="239" spans="1:21" s="1286" customFormat="1" ht="28.5" hidden="1" customHeight="1">
      <c r="A239" s="1343"/>
      <c r="B239" s="1347" t="s">
        <v>1154</v>
      </c>
      <c r="C239" s="484"/>
      <c r="D239" s="1338"/>
      <c r="E239" s="1338"/>
      <c r="F239" s="1319"/>
      <c r="G239" s="1319"/>
      <c r="H239" s="1319"/>
      <c r="I239" s="1319"/>
      <c r="J239" s="1319"/>
      <c r="K239" s="1319"/>
      <c r="L239" s="1319"/>
      <c r="M239" s="1319">
        <f>'TC huyen HY'!F23</f>
        <v>10000</v>
      </c>
      <c r="N239" s="1319"/>
      <c r="O239" s="1319"/>
      <c r="P239" s="1319"/>
      <c r="Q239" s="1319"/>
      <c r="R239" s="1319"/>
      <c r="S239" s="1319"/>
      <c r="T239" s="1329"/>
      <c r="U239" s="1287">
        <v>2</v>
      </c>
    </row>
    <row r="240" spans="1:21" s="1287" customFormat="1" ht="28.5" hidden="1" customHeight="1">
      <c r="A240" s="1346"/>
      <c r="B240" s="1347" t="s">
        <v>1154</v>
      </c>
      <c r="C240" s="1348"/>
      <c r="D240" s="1350"/>
      <c r="E240" s="1350"/>
      <c r="F240" s="1322"/>
      <c r="G240" s="1322"/>
      <c r="H240" s="1322"/>
      <c r="I240" s="1322"/>
      <c r="J240" s="1322"/>
      <c r="K240" s="1322"/>
      <c r="L240" s="1322"/>
      <c r="M240" s="1322">
        <f>'TC huyen HY'!J23</f>
        <v>2000</v>
      </c>
      <c r="N240" s="1322"/>
      <c r="O240" s="1322"/>
      <c r="P240" s="1322"/>
      <c r="Q240" s="1322"/>
      <c r="R240" s="1322"/>
      <c r="S240" s="1322"/>
      <c r="T240" s="1327"/>
      <c r="U240" s="1287">
        <v>2</v>
      </c>
    </row>
    <row r="241" spans="1:21" s="1287" customFormat="1" ht="28.5" customHeight="1">
      <c r="A241" s="1343" t="s">
        <v>81</v>
      </c>
      <c r="B241" s="1317" t="s">
        <v>1045</v>
      </c>
      <c r="C241" s="484" t="s">
        <v>71</v>
      </c>
      <c r="D241" s="1338">
        <f>+F241+H241+J241+L241+N241+P241+R241</f>
        <v>1</v>
      </c>
      <c r="E241" s="1338">
        <f>+G241+I241+K241+M241+O241+Q241+S241</f>
        <v>85000</v>
      </c>
      <c r="F241" s="1322"/>
      <c r="G241" s="1322"/>
      <c r="H241" s="1322"/>
      <c r="I241" s="1322"/>
      <c r="J241" s="1322"/>
      <c r="K241" s="1322"/>
      <c r="L241" s="1322"/>
      <c r="M241" s="1322"/>
      <c r="N241" s="1322"/>
      <c r="O241" s="1322"/>
      <c r="P241" s="1322">
        <v>1</v>
      </c>
      <c r="Q241" s="1322">
        <f>'[58]Biểu 22. Môi trường+Nước sạch'!$G$168</f>
        <v>85000</v>
      </c>
      <c r="R241" s="1322"/>
      <c r="S241" s="1322"/>
      <c r="T241" s="1327"/>
    </row>
    <row r="242" spans="1:21" s="1287" customFormat="1" ht="28.5" hidden="1" customHeight="1">
      <c r="A242" s="1346"/>
      <c r="B242" s="1347" t="s">
        <v>518</v>
      </c>
      <c r="C242" s="1348"/>
      <c r="D242" s="1350"/>
      <c r="E242" s="1350"/>
      <c r="F242" s="1322"/>
      <c r="G242" s="1322"/>
      <c r="H242" s="1322"/>
      <c r="I242" s="1322"/>
      <c r="J242" s="1322"/>
      <c r="K242" s="1322"/>
      <c r="L242" s="1322"/>
      <c r="M242" s="1322"/>
      <c r="N242" s="1322"/>
      <c r="O242" s="1322"/>
      <c r="P242" s="1322"/>
      <c r="Q242" s="1322">
        <f>'[58]Biểu 22. Môi trường+Nước sạch'!$Z$168</f>
        <v>85000</v>
      </c>
      <c r="R242" s="1322"/>
      <c r="S242" s="1322"/>
      <c r="T242" s="1327"/>
      <c r="U242" s="1287">
        <v>1</v>
      </c>
    </row>
    <row r="243" spans="1:21" s="1286" customFormat="1" ht="37.5" customHeight="1">
      <c r="A243" s="1343" t="s">
        <v>81</v>
      </c>
      <c r="B243" s="1317" t="s">
        <v>1027</v>
      </c>
      <c r="C243" s="484" t="s">
        <v>71</v>
      </c>
      <c r="D243" s="1338">
        <f>+F243+H243+J243+L243+N243+P243+R243</f>
        <v>2</v>
      </c>
      <c r="E243" s="1338">
        <f>+G243+I243+K243+M243+O243+Q243+S243</f>
        <v>15721</v>
      </c>
      <c r="F243" s="1319"/>
      <c r="G243" s="1319"/>
      <c r="H243" s="1319">
        <v>1</v>
      </c>
      <c r="I243" s="1319">
        <f>'DT GNBV'!L51</f>
        <v>721</v>
      </c>
      <c r="J243" s="1319"/>
      <c r="K243" s="1319"/>
      <c r="L243" s="1319">
        <v>1</v>
      </c>
      <c r="M243" s="1319">
        <f>'TC huyen HY'!F25</f>
        <v>15000</v>
      </c>
      <c r="N243" s="1319"/>
      <c r="O243" s="1319"/>
      <c r="P243" s="1319"/>
      <c r="Q243" s="1319"/>
      <c r="R243" s="1319"/>
      <c r="S243" s="1319"/>
      <c r="T243" s="1329"/>
    </row>
    <row r="244" spans="1:21" s="1287" customFormat="1" ht="28.5" hidden="1" customHeight="1">
      <c r="A244" s="1343"/>
      <c r="B244" s="1347" t="s">
        <v>698</v>
      </c>
      <c r="C244" s="484" t="s">
        <v>71</v>
      </c>
      <c r="D244" s="1338">
        <f>+F244+H244+J244+L244+N244+P244+R244</f>
        <v>0</v>
      </c>
      <c r="E244" s="1338">
        <f>+G244+I244+K244+M244+O244+Q244+S244</f>
        <v>6768</v>
      </c>
      <c r="F244" s="1322"/>
      <c r="G244" s="1322"/>
      <c r="H244" s="1322"/>
      <c r="I244" s="1322"/>
      <c r="J244" s="1322"/>
      <c r="K244" s="1322"/>
      <c r="L244" s="1322"/>
      <c r="M244" s="1322">
        <v>6768</v>
      </c>
      <c r="N244" s="1322"/>
      <c r="O244" s="1322"/>
      <c r="P244" s="1322"/>
      <c r="Q244" s="1322"/>
      <c r="R244" s="1322"/>
      <c r="S244" s="1322"/>
      <c r="T244" s="1327"/>
      <c r="U244" s="1287">
        <v>1</v>
      </c>
    </row>
    <row r="245" spans="1:21" s="1287" customFormat="1" ht="21" hidden="1" customHeight="1">
      <c r="A245" s="1343"/>
      <c r="B245" s="1347" t="s">
        <v>1026</v>
      </c>
      <c r="C245" s="484"/>
      <c r="D245" s="1338"/>
      <c r="E245" s="1338"/>
      <c r="F245" s="1322"/>
      <c r="G245" s="1322"/>
      <c r="H245" s="1322"/>
      <c r="I245" s="1322">
        <f>'DT GNBV'!M51</f>
        <v>700</v>
      </c>
      <c r="J245" s="1322"/>
      <c r="K245" s="1322"/>
      <c r="L245" s="1322"/>
      <c r="M245" s="1322"/>
      <c r="N245" s="1322"/>
      <c r="O245" s="1322"/>
      <c r="P245" s="1322"/>
      <c r="Q245" s="1322"/>
      <c r="R245" s="1322"/>
      <c r="S245" s="1322"/>
      <c r="T245" s="1327"/>
      <c r="U245" s="1287">
        <v>1</v>
      </c>
    </row>
    <row r="246" spans="1:21" s="1287" customFormat="1" ht="21" hidden="1" customHeight="1">
      <c r="A246" s="1343"/>
      <c r="B246" s="1347" t="s">
        <v>1154</v>
      </c>
      <c r="C246" s="484"/>
      <c r="D246" s="1338"/>
      <c r="E246" s="1338"/>
      <c r="F246" s="1322"/>
      <c r="G246" s="1322"/>
      <c r="H246" s="1322"/>
      <c r="I246" s="1322">
        <f>'DT GNBV'!N51</f>
        <v>21</v>
      </c>
      <c r="J246" s="1322"/>
      <c r="K246" s="1322"/>
      <c r="L246" s="1322"/>
      <c r="M246" s="1322"/>
      <c r="N246" s="1322"/>
      <c r="O246" s="1322"/>
      <c r="P246" s="1322"/>
      <c r="Q246" s="1322"/>
      <c r="R246" s="1322"/>
      <c r="S246" s="1322"/>
      <c r="T246" s="1327"/>
      <c r="U246" s="1287">
        <v>2</v>
      </c>
    </row>
    <row r="247" spans="1:21" s="1287" customFormat="1" ht="28.5" hidden="1" customHeight="1">
      <c r="A247" s="1346"/>
      <c r="B247" s="1347" t="s">
        <v>1154</v>
      </c>
      <c r="C247" s="1348"/>
      <c r="D247" s="1350"/>
      <c r="E247" s="1350"/>
      <c r="F247" s="1322"/>
      <c r="G247" s="1322"/>
      <c r="H247" s="1322"/>
      <c r="I247" s="1322"/>
      <c r="J247" s="1322"/>
      <c r="K247" s="1322"/>
      <c r="L247" s="1322"/>
      <c r="M247" s="1322">
        <f>M243-M244</f>
        <v>8232</v>
      </c>
      <c r="N247" s="1322"/>
      <c r="O247" s="1322"/>
      <c r="P247" s="1322"/>
      <c r="Q247" s="1322"/>
      <c r="R247" s="1322"/>
      <c r="S247" s="1322"/>
      <c r="T247" s="1327"/>
      <c r="U247" s="1287">
        <v>2</v>
      </c>
    </row>
    <row r="248" spans="1:21" s="1286" customFormat="1" ht="41.25" customHeight="1">
      <c r="A248" s="1343" t="s">
        <v>81</v>
      </c>
      <c r="B248" s="1317" t="s">
        <v>553</v>
      </c>
      <c r="C248" s="484" t="s">
        <v>79</v>
      </c>
      <c r="D248" s="1338">
        <f>+F248+H248+J248+L248+N248+P248+R248</f>
        <v>26</v>
      </c>
      <c r="E248" s="1338">
        <f>+G248+I248+K248+M248+O248+Q248+S248</f>
        <v>8660</v>
      </c>
      <c r="F248" s="1319"/>
      <c r="G248" s="1319"/>
      <c r="H248" s="1319"/>
      <c r="I248" s="1319">
        <f>+H248*200</f>
        <v>0</v>
      </c>
      <c r="J248" s="1319">
        <v>1</v>
      </c>
      <c r="K248" s="1319">
        <f>CH!L72</f>
        <v>200</v>
      </c>
      <c r="L248" s="1319">
        <f>2+1+1+1</f>
        <v>5</v>
      </c>
      <c r="M248" s="1319">
        <f>+L248*200</f>
        <v>1000</v>
      </c>
      <c r="N248" s="1319"/>
      <c r="O248" s="1319">
        <f>+N248*200</f>
        <v>0</v>
      </c>
      <c r="P248" s="1319">
        <f>2+18</f>
        <v>20</v>
      </c>
      <c r="Q248" s="1319">
        <f>'[58]Biểu 10. Đô thị văn minh'!$G$39+'[58]Biểu 22. Môi trường+Nước sạch'!$G$176+'[58]Biểu 22. Môi trường+Nước sạch'!$G$177+'[58]Biểu 22. Môi trường+Nước sạch'!$G$183+'[58]Biểu 22. Môi trường+Nước sạch'!$G$184+'[58]Biểu 22. Môi trường+Nước sạch'!$G$189+'[58]Biểu 22. Môi trường+Nước sạch'!$G$190+'[58]Biểu 22. Môi trường+Nước sạch'!$G$197+'[58]Biểu 22. Môi trường+Nước sạch'!$G$198+'[58]Biểu 22. Môi trường+Nước sạch'!$G$203+'[58]Biểu 22. Môi trường+Nước sạch'!$G$204+'[58]Biểu 22. Môi trường+Nước sạch'!$G$208+'[58]Biểu 22. Môi trường+Nước sạch'!$G$209+'[58]Biểu 22. Môi trường+Nước sạch'!$G$214+'[58]Biểu 22. Môi trường+Nước sạch'!$G$215</f>
        <v>7460</v>
      </c>
      <c r="R248" s="1319"/>
      <c r="S248" s="1319"/>
      <c r="T248" s="1319"/>
    </row>
    <row r="249" spans="1:21" s="1287" customFormat="1" ht="21.6" hidden="1" customHeight="1">
      <c r="A249" s="1346"/>
      <c r="B249" s="1347" t="s">
        <v>1154</v>
      </c>
      <c r="C249" s="1348"/>
      <c r="D249" s="1350"/>
      <c r="E249" s="1350"/>
      <c r="F249" s="1322"/>
      <c r="G249" s="1322"/>
      <c r="H249" s="1322"/>
      <c r="I249" s="1322"/>
      <c r="J249" s="1322"/>
      <c r="K249" s="1322">
        <f>K248</f>
        <v>200</v>
      </c>
      <c r="L249" s="1322"/>
      <c r="M249" s="1322">
        <f>M248</f>
        <v>1000</v>
      </c>
      <c r="N249" s="1322"/>
      <c r="O249" s="1322"/>
      <c r="P249" s="1322"/>
      <c r="Q249" s="1322">
        <f>'[58]Biểu 22. Môi trường+Nước sạch'!$AE$215+'[58]Biểu 22. Môi trường+Nước sạch'!$AE$209+'[58]Biểu 22. Môi trường+Nước sạch'!$AE$204+'[58]Biểu 22. Môi trường+Nước sạch'!$AE$198+'[58]Biểu 22. Môi trường+Nước sạch'!$AE$190+'[58]Biểu 22. Môi trường+Nước sạch'!$AE$184+'[58]Biểu 22. Môi trường+Nước sạch'!$AE$177</f>
        <v>560</v>
      </c>
      <c r="R249" s="1322"/>
      <c r="S249" s="1322"/>
      <c r="T249" s="1319"/>
      <c r="U249" s="1287">
        <v>2</v>
      </c>
    </row>
    <row r="250" spans="1:21" s="1287" customFormat="1" ht="21.6" hidden="1" customHeight="1">
      <c r="A250" s="1346"/>
      <c r="B250" s="1347" t="s">
        <v>1154</v>
      </c>
      <c r="C250" s="1348"/>
      <c r="D250" s="1350"/>
      <c r="E250" s="1350"/>
      <c r="F250" s="1322"/>
      <c r="G250" s="1322"/>
      <c r="H250" s="1322"/>
      <c r="I250" s="1322"/>
      <c r="J250" s="1322"/>
      <c r="K250" s="1322"/>
      <c r="L250" s="1322"/>
      <c r="M250" s="1322"/>
      <c r="N250" s="1322"/>
      <c r="O250" s="1322"/>
      <c r="P250" s="1322"/>
      <c r="Q250" s="1322">
        <f>'[58]Biểu 10. Đô thị văn minh'!$W$39+900</f>
        <v>6900</v>
      </c>
      <c r="R250" s="1322"/>
      <c r="S250" s="1322"/>
      <c r="T250" s="1319"/>
      <c r="U250" s="1287">
        <v>2</v>
      </c>
    </row>
    <row r="251" spans="1:21" s="1286" customFormat="1" ht="30.75" customHeight="1">
      <c r="A251" s="1343"/>
      <c r="B251" s="1317" t="s">
        <v>699</v>
      </c>
      <c r="C251" s="484" t="s">
        <v>71</v>
      </c>
      <c r="D251" s="1338">
        <f>+F251+H251+J251+L251+N251+P251+R251</f>
        <v>1</v>
      </c>
      <c r="E251" s="1338">
        <f>+G251+I251+K251+M251+O251+Q251+S251</f>
        <v>17200</v>
      </c>
      <c r="F251" s="1319"/>
      <c r="G251" s="1319"/>
      <c r="H251" s="1319"/>
      <c r="I251" s="1319"/>
      <c r="J251" s="1319"/>
      <c r="K251" s="1319"/>
      <c r="L251" s="1319">
        <v>1</v>
      </c>
      <c r="M251" s="1319">
        <f>'TC huyen HY'!F26</f>
        <v>17200</v>
      </c>
      <c r="N251" s="1319"/>
      <c r="O251" s="1319"/>
      <c r="P251" s="1319"/>
      <c r="Q251" s="1319"/>
      <c r="R251" s="1319"/>
      <c r="S251" s="1319"/>
      <c r="T251" s="1319"/>
    </row>
    <row r="252" spans="1:21" s="1287" customFormat="1" ht="30.75" hidden="1" customHeight="1">
      <c r="A252" s="1346"/>
      <c r="B252" s="1347" t="s">
        <v>1154</v>
      </c>
      <c r="C252" s="1348"/>
      <c r="D252" s="1350"/>
      <c r="E252" s="1350"/>
      <c r="F252" s="1322"/>
      <c r="G252" s="1322"/>
      <c r="H252" s="1322"/>
      <c r="I252" s="1322"/>
      <c r="J252" s="1322"/>
      <c r="K252" s="1322"/>
      <c r="L252" s="1322"/>
      <c r="M252" s="1322">
        <f>M251</f>
        <v>17200</v>
      </c>
      <c r="N252" s="1322"/>
      <c r="O252" s="1322"/>
      <c r="P252" s="1322"/>
      <c r="Q252" s="1322"/>
      <c r="R252" s="1322"/>
      <c r="S252" s="1322"/>
      <c r="T252" s="1319"/>
      <c r="U252" s="1287">
        <v>2</v>
      </c>
    </row>
    <row r="253" spans="1:21" s="1286" customFormat="1" ht="36.75" customHeight="1">
      <c r="A253" s="1343"/>
      <c r="B253" s="1289" t="s">
        <v>866</v>
      </c>
      <c r="C253" s="484" t="s">
        <v>443</v>
      </c>
      <c r="D253" s="1338">
        <f>+F253+H253+J253+L253+N253+P253+R253</f>
        <v>1</v>
      </c>
      <c r="E253" s="1338">
        <f>+G253+I253+K253+M253+O253+Q253+S253</f>
        <v>1500</v>
      </c>
      <c r="F253" s="1319"/>
      <c r="G253" s="1319"/>
      <c r="H253" s="1319"/>
      <c r="I253" s="1319"/>
      <c r="J253" s="1319"/>
      <c r="K253" s="1319"/>
      <c r="L253" s="1319">
        <v>1</v>
      </c>
      <c r="M253" s="1319">
        <f>'TC huyen HY'!F24</f>
        <v>1500</v>
      </c>
      <c r="N253" s="1319"/>
      <c r="O253" s="1319"/>
      <c r="P253" s="1319"/>
      <c r="Q253" s="1319"/>
      <c r="R253" s="1319"/>
      <c r="S253" s="1319"/>
      <c r="T253" s="1319"/>
      <c r="U253" s="1286">
        <v>1</v>
      </c>
    </row>
    <row r="254" spans="1:21" s="1286" customFormat="1" ht="30" customHeight="1">
      <c r="A254" s="1343" t="s">
        <v>81</v>
      </c>
      <c r="B254" s="1317" t="s">
        <v>697</v>
      </c>
      <c r="C254" s="484" t="s">
        <v>79</v>
      </c>
      <c r="D254" s="1338">
        <f>+F254+H254+J254+L254+N254+P254+R254</f>
        <v>1</v>
      </c>
      <c r="E254" s="1338">
        <f>+G254+I254+K254+M254+O254+Q254+S254</f>
        <v>500</v>
      </c>
      <c r="F254" s="1319"/>
      <c r="G254" s="1319"/>
      <c r="H254" s="1319"/>
      <c r="I254" s="1319">
        <f>+H254*500</f>
        <v>0</v>
      </c>
      <c r="J254" s="1319">
        <v>1</v>
      </c>
      <c r="K254" s="1319">
        <f>CH!M94</f>
        <v>500</v>
      </c>
      <c r="L254" s="1319"/>
      <c r="M254" s="1319"/>
      <c r="N254" s="1319"/>
      <c r="O254" s="1319"/>
      <c r="P254" s="1319"/>
      <c r="Q254" s="1319"/>
      <c r="R254" s="1319"/>
      <c r="S254" s="1319"/>
      <c r="T254" s="1319"/>
    </row>
    <row r="255" spans="1:21" s="1287" customFormat="1" ht="19.5" hidden="1" customHeight="1">
      <c r="A255" s="1346"/>
      <c r="B255" s="1347" t="s">
        <v>1154</v>
      </c>
      <c r="C255" s="1348"/>
      <c r="D255" s="1350"/>
      <c r="E255" s="1350"/>
      <c r="F255" s="1322"/>
      <c r="G255" s="1322"/>
      <c r="H255" s="1322"/>
      <c r="I255" s="1322"/>
      <c r="J255" s="1322"/>
      <c r="K255" s="1322">
        <f>K254</f>
        <v>500</v>
      </c>
      <c r="L255" s="1322"/>
      <c r="M255" s="1322"/>
      <c r="N255" s="1322"/>
      <c r="O255" s="1322"/>
      <c r="P255" s="1322"/>
      <c r="Q255" s="1322"/>
      <c r="R255" s="1322"/>
      <c r="S255" s="1322"/>
      <c r="T255" s="1319"/>
      <c r="U255" s="1287">
        <v>2</v>
      </c>
    </row>
    <row r="256" spans="1:21" s="1286" customFormat="1" ht="20.25" customHeight="1">
      <c r="A256" s="1343" t="s">
        <v>81</v>
      </c>
      <c r="B256" s="1373" t="s">
        <v>118</v>
      </c>
      <c r="C256" s="1374" t="s">
        <v>104</v>
      </c>
      <c r="D256" s="1375">
        <f t="shared" ref="D256:E264" si="28">+F256+H256+J256+L256+N256+P256+R256</f>
        <v>14</v>
      </c>
      <c r="E256" s="1375">
        <f t="shared" si="28"/>
        <v>2800</v>
      </c>
      <c r="F256" s="1373"/>
      <c r="G256" s="1373"/>
      <c r="H256" s="1373">
        <v>1</v>
      </c>
      <c r="I256" s="1373">
        <f>+H256*200</f>
        <v>200</v>
      </c>
      <c r="J256" s="1373">
        <v>1</v>
      </c>
      <c r="K256" s="1373">
        <v>200</v>
      </c>
      <c r="L256" s="1373">
        <f>HY!D38+HY!D77+1</f>
        <v>5</v>
      </c>
      <c r="M256" s="1373">
        <f>HY!E38+HY!E77+HY!E110</f>
        <v>1000</v>
      </c>
      <c r="N256" s="1373">
        <v>2</v>
      </c>
      <c r="O256" s="1373">
        <f>YS!F31+YS!F52</f>
        <v>400</v>
      </c>
      <c r="P256" s="1373">
        <f>1+4</f>
        <v>5</v>
      </c>
      <c r="Q256" s="1373">
        <f>NTM!H202+'[58]Biểu 22. Môi trường+Nước sạch'!$G$188+'[58]Biểu 22. Môi trường+Nước sạch'!$G$196+'[58]Biểu 22. Môi trường+Nước sạch'!$G$201+'[58]Biểu 22. Môi trường+Nước sạch'!$G$207</f>
        <v>1000</v>
      </c>
      <c r="R256" s="1373"/>
      <c r="S256" s="1373">
        <f>+R256*200</f>
        <v>0</v>
      </c>
      <c r="T256" s="1319"/>
    </row>
    <row r="257" spans="1:21" s="1287" customFormat="1" ht="12.75" hidden="1" customHeight="1">
      <c r="A257" s="1346"/>
      <c r="B257" s="1347" t="s">
        <v>1154</v>
      </c>
      <c r="C257" s="1327" t="s">
        <v>71</v>
      </c>
      <c r="D257" s="1350">
        <f t="shared" si="28"/>
        <v>0</v>
      </c>
      <c r="E257" s="1350">
        <f t="shared" si="28"/>
        <v>1000</v>
      </c>
      <c r="F257" s="1322"/>
      <c r="G257" s="1322"/>
      <c r="H257" s="1322"/>
      <c r="I257" s="1322"/>
      <c r="J257" s="1322"/>
      <c r="K257" s="1322">
        <f>K256</f>
        <v>200</v>
      </c>
      <c r="L257" s="1322"/>
      <c r="M257" s="1322"/>
      <c r="N257" s="1322"/>
      <c r="O257" s="1322"/>
      <c r="P257" s="1322"/>
      <c r="Q257" s="1322">
        <v>800</v>
      </c>
      <c r="R257" s="1322"/>
      <c r="S257" s="1322"/>
      <c r="T257" s="1327"/>
      <c r="U257" s="1287">
        <v>2</v>
      </c>
    </row>
    <row r="258" spans="1:21" s="1287" customFormat="1" ht="12.75" hidden="1" customHeight="1">
      <c r="A258" s="1346"/>
      <c r="B258" s="1322" t="s">
        <v>867</v>
      </c>
      <c r="C258" s="1327"/>
      <c r="D258" s="1350"/>
      <c r="E258" s="1350"/>
      <c r="F258" s="1322"/>
      <c r="G258" s="1322"/>
      <c r="H258" s="1322"/>
      <c r="I258" s="1322"/>
      <c r="J258" s="1322"/>
      <c r="K258" s="1322"/>
      <c r="L258" s="1322"/>
      <c r="M258" s="1322"/>
      <c r="N258" s="1322"/>
      <c r="O258" s="1322"/>
      <c r="P258" s="1322"/>
      <c r="Q258" s="1322">
        <f>NTM!H202</f>
        <v>200</v>
      </c>
      <c r="R258" s="1322"/>
      <c r="S258" s="1322"/>
      <c r="T258" s="1327"/>
      <c r="U258" s="1287">
        <v>1</v>
      </c>
    </row>
    <row r="259" spans="1:21" s="1287" customFormat="1" ht="12.75" hidden="1" customHeight="1">
      <c r="A259" s="1346"/>
      <c r="B259" s="1347" t="s">
        <v>1154</v>
      </c>
      <c r="C259" s="1327"/>
      <c r="D259" s="1350"/>
      <c r="E259" s="1350"/>
      <c r="F259" s="1322"/>
      <c r="G259" s="1322"/>
      <c r="H259" s="1322"/>
      <c r="I259" s="1322"/>
      <c r="J259" s="1322"/>
      <c r="K259" s="1322"/>
      <c r="L259" s="1322"/>
      <c r="M259" s="1322">
        <f>HY!G38+HY!G77+HY!G110</f>
        <v>1000</v>
      </c>
      <c r="N259" s="1322"/>
      <c r="O259" s="1322">
        <v>400</v>
      </c>
      <c r="P259" s="1322"/>
      <c r="Q259" s="1322"/>
      <c r="R259" s="1322"/>
      <c r="S259" s="1322"/>
      <c r="T259" s="1327"/>
      <c r="U259" s="1287">
        <v>2</v>
      </c>
    </row>
    <row r="260" spans="1:21" s="1287" customFormat="1" ht="12.75" hidden="1" customHeight="1">
      <c r="A260" s="1346"/>
      <c r="B260" s="1347" t="s">
        <v>1154</v>
      </c>
      <c r="C260" s="1327"/>
      <c r="D260" s="1350"/>
      <c r="E260" s="1350"/>
      <c r="F260" s="1322"/>
      <c r="G260" s="1322"/>
      <c r="H260" s="1322"/>
      <c r="I260" s="1322">
        <f>NH!X75</f>
        <v>200</v>
      </c>
      <c r="J260" s="1322"/>
      <c r="K260" s="1322"/>
      <c r="L260" s="1322"/>
      <c r="M260" s="1322"/>
      <c r="N260" s="1322"/>
      <c r="O260" s="1322"/>
      <c r="P260" s="1322"/>
      <c r="Q260" s="1322"/>
      <c r="R260" s="1322"/>
      <c r="S260" s="1322"/>
      <c r="T260" s="1327"/>
      <c r="U260" s="1287">
        <v>2</v>
      </c>
    </row>
    <row r="261" spans="1:21" s="1313" customFormat="1" ht="49.5" customHeight="1">
      <c r="A261" s="485" t="s">
        <v>82</v>
      </c>
      <c r="B261" s="1392" t="s">
        <v>1224</v>
      </c>
      <c r="C261" s="485" t="s">
        <v>65</v>
      </c>
      <c r="D261" s="1311">
        <f t="shared" si="28"/>
        <v>0</v>
      </c>
      <c r="E261" s="1311">
        <f t="shared" si="28"/>
        <v>1120</v>
      </c>
      <c r="F261" s="1312"/>
      <c r="G261" s="1312">
        <f t="shared" ref="G261:S261" si="29">+SUM(G263:G264)</f>
        <v>30</v>
      </c>
      <c r="H261" s="1312"/>
      <c r="I261" s="1312">
        <f t="shared" si="29"/>
        <v>120</v>
      </c>
      <c r="J261" s="1312"/>
      <c r="K261" s="1312">
        <f t="shared" si="29"/>
        <v>210</v>
      </c>
      <c r="L261" s="1312"/>
      <c r="M261" s="1312">
        <f t="shared" si="29"/>
        <v>170</v>
      </c>
      <c r="N261" s="1312"/>
      <c r="O261" s="1312">
        <f t="shared" si="29"/>
        <v>200</v>
      </c>
      <c r="P261" s="1312"/>
      <c r="Q261" s="1312">
        <f t="shared" si="29"/>
        <v>360</v>
      </c>
      <c r="R261" s="1312"/>
      <c r="S261" s="1312">
        <f t="shared" si="29"/>
        <v>30</v>
      </c>
      <c r="T261" s="1319"/>
    </row>
    <row r="262" spans="1:21" s="1286" customFormat="1" ht="27" customHeight="1">
      <c r="A262" s="484">
        <v>1</v>
      </c>
      <c r="B262" s="566" t="s">
        <v>1221</v>
      </c>
      <c r="C262" s="484"/>
      <c r="D262" s="1338">
        <f>+F262+H262+J262+L262+N262+P262+R262</f>
        <v>15</v>
      </c>
      <c r="E262" s="1338"/>
      <c r="F262" s="1319">
        <v>1</v>
      </c>
      <c r="G262" s="1319"/>
      <c r="H262" s="1319">
        <v>1</v>
      </c>
      <c r="I262" s="1319"/>
      <c r="J262" s="1319">
        <v>3</v>
      </c>
      <c r="K262" s="1319"/>
      <c r="L262" s="1319">
        <v>2</v>
      </c>
      <c r="M262" s="1319"/>
      <c r="N262" s="1319">
        <v>3</v>
      </c>
      <c r="O262" s="1319"/>
      <c r="P262" s="1319">
        <v>4</v>
      </c>
      <c r="Q262" s="1319"/>
      <c r="R262" s="1319">
        <v>1</v>
      </c>
      <c r="S262" s="1319"/>
      <c r="T262" s="1319"/>
    </row>
    <row r="263" spans="1:21" s="1286" customFormat="1" ht="27" customHeight="1">
      <c r="A263" s="484">
        <v>2</v>
      </c>
      <c r="B263" s="566" t="s">
        <v>1222</v>
      </c>
      <c r="C263" s="484" t="s">
        <v>65</v>
      </c>
      <c r="D263" s="1338">
        <f t="shared" si="28"/>
        <v>27</v>
      </c>
      <c r="E263" s="1338">
        <f t="shared" si="28"/>
        <v>540</v>
      </c>
      <c r="F263" s="1319"/>
      <c r="G263" s="1319">
        <f>+F263*20</f>
        <v>0</v>
      </c>
      <c r="H263" s="1319">
        <v>3</v>
      </c>
      <c r="I263" s="1319">
        <f>+H263*20</f>
        <v>60</v>
      </c>
      <c r="J263" s="1319">
        <v>5</v>
      </c>
      <c r="K263" s="1319">
        <f>+J263*20</f>
        <v>100</v>
      </c>
      <c r="L263" s="1319">
        <v>3</v>
      </c>
      <c r="M263" s="1319">
        <f>+L263*20</f>
        <v>60</v>
      </c>
      <c r="N263" s="1319">
        <v>5</v>
      </c>
      <c r="O263" s="1319">
        <f>+N263*20</f>
        <v>100</v>
      </c>
      <c r="P263" s="1319">
        <v>10</v>
      </c>
      <c r="Q263" s="1319">
        <f>+P263*20</f>
        <v>200</v>
      </c>
      <c r="R263" s="1319">
        <v>1</v>
      </c>
      <c r="S263" s="1319">
        <f>+R263*20</f>
        <v>20</v>
      </c>
      <c r="T263" s="1319"/>
    </row>
    <row r="264" spans="1:21" s="1286" customFormat="1" ht="24.75" customHeight="1">
      <c r="A264" s="484">
        <v>3</v>
      </c>
      <c r="B264" s="1317" t="s">
        <v>1223</v>
      </c>
      <c r="C264" s="484" t="s">
        <v>65</v>
      </c>
      <c r="D264" s="1338">
        <f t="shared" si="28"/>
        <v>58</v>
      </c>
      <c r="E264" s="1338">
        <f t="shared" si="28"/>
        <v>580</v>
      </c>
      <c r="F264" s="1319">
        <v>3</v>
      </c>
      <c r="G264" s="1319">
        <f>+F264*10</f>
        <v>30</v>
      </c>
      <c r="H264" s="1319">
        <v>6</v>
      </c>
      <c r="I264" s="1319">
        <f>+H264*10</f>
        <v>60</v>
      </c>
      <c r="J264" s="1319">
        <v>11</v>
      </c>
      <c r="K264" s="1319">
        <f>+J264*10</f>
        <v>110</v>
      </c>
      <c r="L264" s="1319">
        <v>11</v>
      </c>
      <c r="M264" s="1319">
        <f>+L264*10</f>
        <v>110</v>
      </c>
      <c r="N264" s="1319">
        <v>10</v>
      </c>
      <c r="O264" s="1319">
        <f>+N264*10</f>
        <v>100</v>
      </c>
      <c r="P264" s="1319">
        <v>16</v>
      </c>
      <c r="Q264" s="1319">
        <f>+P264*10</f>
        <v>160</v>
      </c>
      <c r="R264" s="1319">
        <v>1</v>
      </c>
      <c r="S264" s="1319">
        <f>+R264*10</f>
        <v>10</v>
      </c>
      <c r="T264" s="1322"/>
    </row>
    <row r="265" spans="1:21" s="1324" customFormat="1">
      <c r="A265" s="1323"/>
      <c r="C265" s="1323"/>
      <c r="D265" s="1323"/>
      <c r="E265" s="1325"/>
      <c r="F265" s="101"/>
      <c r="G265" s="101"/>
      <c r="H265" s="101"/>
      <c r="I265" s="101"/>
      <c r="J265" s="101"/>
      <c r="K265" s="101"/>
      <c r="L265" s="101"/>
      <c r="M265" s="101"/>
      <c r="N265" s="101"/>
      <c r="O265" s="101"/>
      <c r="P265" s="101"/>
      <c r="Q265" s="101"/>
      <c r="R265" s="101"/>
      <c r="S265" s="101"/>
    </row>
    <row r="266" spans="1:21" s="1324" customFormat="1">
      <c r="A266" s="1323"/>
      <c r="C266" s="1323"/>
      <c r="D266" s="1323"/>
      <c r="E266" s="1325"/>
      <c r="F266" s="101"/>
      <c r="G266" s="101"/>
      <c r="H266" s="101"/>
      <c r="I266" s="101"/>
      <c r="J266" s="101"/>
      <c r="K266" s="101"/>
      <c r="L266" s="101"/>
      <c r="M266" s="101"/>
      <c r="N266" s="101"/>
      <c r="O266" s="101"/>
      <c r="P266" s="101"/>
      <c r="Q266" s="101"/>
      <c r="R266" s="101"/>
      <c r="S266" s="101"/>
    </row>
    <row r="267" spans="1:21" s="1324" customFormat="1">
      <c r="A267" s="1323"/>
      <c r="C267" s="1323"/>
      <c r="D267" s="1323"/>
      <c r="E267" s="1325"/>
      <c r="F267" s="101"/>
      <c r="G267" s="101"/>
      <c r="H267" s="101"/>
      <c r="I267" s="101"/>
      <c r="J267" s="101"/>
      <c r="K267" s="101"/>
      <c r="L267" s="101"/>
      <c r="M267" s="101"/>
      <c r="N267" s="101"/>
      <c r="O267" s="101"/>
      <c r="P267" s="101"/>
      <c r="Q267" s="1326"/>
      <c r="R267" s="101"/>
      <c r="S267" s="101"/>
    </row>
    <row r="268" spans="1:21" s="1324" customFormat="1">
      <c r="A268" s="1323"/>
      <c r="C268" s="1323"/>
      <c r="D268" s="1323"/>
      <c r="E268" s="1325"/>
      <c r="F268" s="101"/>
      <c r="G268" s="101"/>
      <c r="H268" s="101"/>
      <c r="I268" s="101"/>
      <c r="J268" s="101"/>
      <c r="K268" s="101"/>
      <c r="L268" s="101"/>
      <c r="M268" s="101"/>
      <c r="N268" s="101"/>
      <c r="O268" s="101"/>
      <c r="P268" s="101"/>
      <c r="Q268" s="1326"/>
      <c r="R268" s="101"/>
      <c r="S268" s="101"/>
    </row>
    <row r="269" spans="1:21" s="1324" customFormat="1">
      <c r="A269" s="1323"/>
      <c r="C269" s="1323"/>
      <c r="D269" s="1323"/>
      <c r="E269" s="1325"/>
      <c r="F269" s="101"/>
      <c r="G269" s="101"/>
      <c r="H269" s="101"/>
      <c r="I269" s="101"/>
      <c r="J269" s="101"/>
      <c r="K269" s="101"/>
      <c r="L269" s="101"/>
      <c r="M269" s="101"/>
      <c r="N269" s="101"/>
      <c r="O269" s="101"/>
      <c r="P269" s="101"/>
      <c r="Q269" s="101"/>
      <c r="R269" s="101"/>
      <c r="S269" s="101"/>
    </row>
    <row r="270" spans="1:21" s="1324" customFormat="1">
      <c r="A270" s="1323"/>
      <c r="C270" s="1323"/>
      <c r="D270" s="1323"/>
      <c r="E270" s="1325"/>
      <c r="F270" s="101"/>
      <c r="G270" s="101"/>
      <c r="H270" s="101"/>
      <c r="I270" s="101"/>
      <c r="J270" s="101"/>
      <c r="K270" s="101"/>
      <c r="L270" s="101"/>
      <c r="M270" s="101"/>
      <c r="N270" s="101"/>
      <c r="O270" s="101"/>
      <c r="P270" s="101"/>
      <c r="Q270" s="101"/>
      <c r="R270" s="101"/>
      <c r="S270" s="101"/>
    </row>
    <row r="271" spans="1:21" s="1324" customFormat="1">
      <c r="A271" s="1323"/>
      <c r="C271" s="1323"/>
      <c r="D271" s="1323"/>
      <c r="E271" s="1325"/>
      <c r="F271" s="101"/>
      <c r="G271" s="101"/>
      <c r="H271" s="101"/>
      <c r="I271" s="101"/>
      <c r="J271" s="101"/>
      <c r="K271" s="101"/>
      <c r="L271" s="101"/>
      <c r="M271" s="101"/>
      <c r="N271" s="101"/>
      <c r="O271" s="101"/>
      <c r="P271" s="101"/>
      <c r="Q271" s="101"/>
      <c r="R271" s="101"/>
      <c r="S271" s="101"/>
    </row>
    <row r="272" spans="1:21" s="1324" customFormat="1">
      <c r="A272" s="1323"/>
      <c r="C272" s="1323"/>
      <c r="D272" s="1323"/>
      <c r="E272" s="1325"/>
      <c r="F272" s="101"/>
      <c r="G272" s="101"/>
      <c r="H272" s="101"/>
      <c r="I272" s="101"/>
      <c r="J272" s="101"/>
      <c r="K272" s="101"/>
      <c r="L272" s="101"/>
      <c r="M272" s="101"/>
      <c r="N272" s="101"/>
      <c r="O272" s="101"/>
      <c r="P272" s="101"/>
      <c r="Q272" s="101"/>
      <c r="R272" s="101"/>
      <c r="S272" s="101"/>
    </row>
    <row r="273" spans="1:19" s="1324" customFormat="1">
      <c r="A273" s="1323"/>
      <c r="C273" s="1323"/>
      <c r="D273" s="1323"/>
      <c r="E273" s="1325"/>
      <c r="F273" s="101"/>
      <c r="G273" s="101"/>
      <c r="H273" s="101"/>
      <c r="I273" s="101"/>
      <c r="J273" s="101"/>
      <c r="K273" s="101"/>
      <c r="L273" s="101"/>
      <c r="M273" s="101"/>
      <c r="N273" s="101"/>
      <c r="O273" s="101"/>
      <c r="P273" s="101"/>
      <c r="Q273" s="101"/>
      <c r="R273" s="101"/>
      <c r="S273" s="101"/>
    </row>
    <row r="274" spans="1:19" s="1324" customFormat="1">
      <c r="A274" s="1323"/>
      <c r="C274" s="1323"/>
      <c r="D274" s="1323"/>
      <c r="E274" s="1325"/>
      <c r="F274" s="101"/>
      <c r="G274" s="101"/>
      <c r="H274" s="101"/>
      <c r="I274" s="101"/>
      <c r="J274" s="101"/>
      <c r="K274" s="101"/>
      <c r="L274" s="101"/>
      <c r="M274" s="101"/>
      <c r="N274" s="101"/>
      <c r="O274" s="101"/>
      <c r="P274" s="101"/>
      <c r="Q274" s="101"/>
      <c r="R274" s="101"/>
      <c r="S274" s="101"/>
    </row>
    <row r="275" spans="1:19" s="1324" customFormat="1">
      <c r="A275" s="1323"/>
      <c r="C275" s="1323"/>
      <c r="D275" s="1323"/>
      <c r="E275" s="1325"/>
      <c r="F275" s="101"/>
      <c r="G275" s="101"/>
      <c r="H275" s="101"/>
      <c r="I275" s="101"/>
      <c r="J275" s="101"/>
      <c r="K275" s="101"/>
      <c r="L275" s="101"/>
      <c r="M275" s="101"/>
      <c r="N275" s="101"/>
      <c r="O275" s="101"/>
      <c r="P275" s="101"/>
      <c r="Q275" s="101"/>
      <c r="R275" s="101"/>
      <c r="S275" s="101"/>
    </row>
    <row r="276" spans="1:19" s="1324" customFormat="1">
      <c r="A276" s="1323"/>
      <c r="C276" s="1323"/>
      <c r="D276" s="1323"/>
      <c r="E276" s="1325"/>
      <c r="F276" s="101"/>
      <c r="G276" s="101"/>
      <c r="H276" s="101"/>
      <c r="I276" s="101"/>
      <c r="J276" s="101"/>
      <c r="K276" s="101"/>
      <c r="L276" s="101"/>
      <c r="M276" s="101"/>
      <c r="N276" s="101"/>
      <c r="O276" s="101"/>
      <c r="P276" s="101"/>
      <c r="Q276" s="101"/>
      <c r="R276" s="101"/>
      <c r="S276" s="101"/>
    </row>
    <row r="277" spans="1:19" s="1324" customFormat="1">
      <c r="A277" s="1323"/>
      <c r="C277" s="1323"/>
      <c r="D277" s="1323"/>
      <c r="E277" s="1325"/>
      <c r="F277" s="101"/>
      <c r="G277" s="101"/>
      <c r="H277" s="101"/>
      <c r="I277" s="101"/>
      <c r="J277" s="101"/>
      <c r="K277" s="101"/>
      <c r="L277" s="101"/>
      <c r="M277" s="101"/>
      <c r="N277" s="101"/>
      <c r="O277" s="101"/>
      <c r="P277" s="101"/>
      <c r="Q277" s="101"/>
      <c r="R277" s="101"/>
      <c r="S277" s="101"/>
    </row>
    <row r="278" spans="1:19" s="1324" customFormat="1">
      <c r="A278" s="1323"/>
      <c r="C278" s="1323"/>
      <c r="D278" s="1323"/>
      <c r="E278" s="1325"/>
      <c r="F278" s="101"/>
      <c r="G278" s="101"/>
      <c r="H278" s="101"/>
      <c r="I278" s="101"/>
      <c r="J278" s="101"/>
      <c r="K278" s="101"/>
      <c r="L278" s="101"/>
      <c r="M278" s="101"/>
      <c r="N278" s="101"/>
      <c r="O278" s="101"/>
      <c r="P278" s="101"/>
      <c r="Q278" s="101"/>
      <c r="R278" s="101"/>
      <c r="S278" s="101"/>
    </row>
  </sheetData>
  <mergeCells count="18">
    <mergeCell ref="T5:T7"/>
    <mergeCell ref="N6:O6"/>
    <mergeCell ref="F6:G6"/>
    <mergeCell ref="H6:I6"/>
    <mergeCell ref="A1:B1"/>
    <mergeCell ref="A5:A7"/>
    <mergeCell ref="B5:B7"/>
    <mergeCell ref="A2:T2"/>
    <mergeCell ref="A3:T3"/>
    <mergeCell ref="Q4:T4"/>
    <mergeCell ref="L6:M6"/>
    <mergeCell ref="F5:S5"/>
    <mergeCell ref="P6:Q6"/>
    <mergeCell ref="R6:S6"/>
    <mergeCell ref="J6:K6"/>
    <mergeCell ref="C5:C7"/>
    <mergeCell ref="D5:D7"/>
    <mergeCell ref="E5:E7"/>
  </mergeCells>
  <pageMargins left="0.24" right="0.16" top="0.5" bottom="0.33" header="0.2" footer="0.2"/>
  <pageSetup paperSize="9" scale="88" orientation="landscape" r:id="rId1"/>
  <headerFooter alignWithMargins="0">
    <oddHeader>Page &amp;P</oddHeader>
  </headerFooter>
  <colBreaks count="1" manualBreakCount="1">
    <brk id="20" max="1048575" man="1"/>
  </colBreaks>
</worksheet>
</file>

<file path=xl/worksheets/sheet20.xml><?xml version="1.0" encoding="utf-8"?>
<worksheet xmlns="http://schemas.openxmlformats.org/spreadsheetml/2006/main" xmlns:r="http://schemas.openxmlformats.org/officeDocument/2006/relationships">
  <sheetPr>
    <tabColor rgb="FFFFFF00"/>
  </sheetPr>
  <dimension ref="A1:AD40"/>
  <sheetViews>
    <sheetView topLeftCell="A19" workbookViewId="0">
      <selection activeCell="E25" sqref="E25"/>
    </sheetView>
  </sheetViews>
  <sheetFormatPr defaultRowHeight="15"/>
  <cols>
    <col min="1" max="1" width="3.375" style="240" customWidth="1"/>
    <col min="2" max="2" width="35.5" style="97" customWidth="1"/>
    <col min="3" max="3" width="4.5" style="95" customWidth="1"/>
    <col min="4" max="4" width="5.625" style="99" customWidth="1"/>
    <col min="5" max="5" width="8" style="95" customWidth="1"/>
    <col min="6" max="6" width="7.75" style="100" customWidth="1"/>
    <col min="7" max="7" width="8.125" style="97" customWidth="1"/>
    <col min="8" max="8" width="12.25" style="97" customWidth="1"/>
    <col min="9" max="9" width="9.125" style="97" customWidth="1"/>
    <col min="10" max="10" width="8.875" style="97" customWidth="1"/>
    <col min="11" max="11" width="8.25" style="97" customWidth="1"/>
    <col min="12" max="12" width="10.5" style="97" customWidth="1"/>
    <col min="13" max="13" width="8.125" style="97" customWidth="1"/>
    <col min="14" max="14" width="7.75" style="96" customWidth="1"/>
    <col min="15" max="15" width="8.375" style="96" customWidth="1"/>
    <col min="16" max="16" width="12.125" style="96" customWidth="1"/>
    <col min="17" max="17" width="7.875" style="97" customWidth="1"/>
    <col min="18" max="18" width="10.125" style="96" customWidth="1"/>
    <col min="19" max="19" width="7.375" style="96" customWidth="1"/>
    <col min="20" max="20" width="7.5" style="97" customWidth="1"/>
    <col min="21" max="21" width="8.375" style="97" hidden="1" customWidth="1"/>
    <col min="22" max="22" width="6.125" style="97" hidden="1" customWidth="1"/>
    <col min="23" max="23" width="8.625" style="97" customWidth="1"/>
    <col min="24" max="24" width="7.375" style="96" customWidth="1"/>
    <col min="25" max="25" width="7.625" style="96" customWidth="1"/>
    <col min="26" max="26" width="13.125" style="98" hidden="1" customWidth="1"/>
    <col min="27" max="27" width="5" style="98" hidden="1" customWidth="1"/>
    <col min="28" max="28" width="8" style="97" hidden="1" customWidth="1"/>
    <col min="29" max="30" width="9" style="97" customWidth="1"/>
  </cols>
  <sheetData>
    <row r="1" spans="1:30">
      <c r="A1" s="1508" t="s">
        <v>353</v>
      </c>
      <c r="B1" s="1508"/>
      <c r="C1" s="1508"/>
      <c r="D1" s="1508"/>
      <c r="E1" s="1508"/>
      <c r="F1" s="1508"/>
      <c r="G1" s="1508"/>
      <c r="H1" s="1508"/>
      <c r="I1" s="1508"/>
      <c r="J1" s="1508"/>
      <c r="K1" s="1508"/>
      <c r="L1" s="1508"/>
      <c r="M1" s="1508"/>
      <c r="N1" s="1508"/>
      <c r="O1" s="1508"/>
      <c r="P1" s="1508"/>
      <c r="Q1" s="1508"/>
      <c r="R1" s="1508"/>
      <c r="S1" s="1508"/>
      <c r="T1" s="1508"/>
      <c r="U1" s="1508"/>
      <c r="V1" s="1508"/>
      <c r="W1" s="1508"/>
      <c r="X1" s="1508"/>
      <c r="Y1" s="1508"/>
      <c r="Z1" s="238"/>
      <c r="AA1" s="238"/>
      <c r="AB1" s="239"/>
      <c r="AC1" s="239"/>
      <c r="AD1" s="239"/>
    </row>
    <row r="2" spans="1:30">
      <c r="A2" s="1509" t="s">
        <v>354</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238"/>
      <c r="AA2" s="238"/>
      <c r="AB2" s="239"/>
      <c r="AC2" s="239"/>
      <c r="AD2" s="239"/>
    </row>
    <row r="3" spans="1:30">
      <c r="B3" s="239"/>
      <c r="C3" s="241"/>
      <c r="D3" s="242"/>
      <c r="E3" s="243"/>
      <c r="F3" s="244"/>
      <c r="G3" s="239"/>
      <c r="H3" s="239"/>
      <c r="I3" s="239"/>
      <c r="J3" s="239"/>
      <c r="K3" s="239"/>
      <c r="L3" s="239"/>
      <c r="M3" s="245"/>
      <c r="N3" s="245"/>
      <c r="O3" s="245"/>
      <c r="P3" s="245"/>
      <c r="Q3" s="239"/>
      <c r="R3" s="1511"/>
      <c r="S3" s="1511"/>
      <c r="T3" s="1511"/>
      <c r="U3" s="1511"/>
      <c r="V3" s="1511"/>
      <c r="W3" s="1511"/>
      <c r="X3" s="1511"/>
      <c r="Y3" s="1511"/>
      <c r="Z3" s="238"/>
      <c r="AA3" s="238"/>
      <c r="AB3" s="239"/>
      <c r="AC3" s="239"/>
      <c r="AD3" s="239"/>
    </row>
    <row r="4" spans="1:30">
      <c r="A4" s="1410" t="s">
        <v>130</v>
      </c>
      <c r="B4" s="1567" t="s">
        <v>62</v>
      </c>
      <c r="C4" s="1567" t="s">
        <v>1</v>
      </c>
      <c r="D4" s="1571" t="s">
        <v>147</v>
      </c>
      <c r="E4" s="1567" t="s">
        <v>355</v>
      </c>
      <c r="F4" s="1574" t="s">
        <v>356</v>
      </c>
      <c r="G4" s="1574"/>
      <c r="H4" s="1574"/>
      <c r="I4" s="1574"/>
      <c r="J4" s="1574"/>
      <c r="K4" s="1574"/>
      <c r="L4" s="1574"/>
      <c r="M4" s="1574"/>
      <c r="N4" s="1574"/>
      <c r="O4" s="1574"/>
      <c r="P4" s="1574"/>
      <c r="Q4" s="1574"/>
      <c r="R4" s="1574"/>
      <c r="S4" s="1574"/>
      <c r="T4" s="1574"/>
      <c r="U4" s="1574"/>
      <c r="V4" s="1574"/>
      <c r="W4" s="1574"/>
      <c r="X4" s="1574"/>
      <c r="Y4" s="1574"/>
      <c r="Z4" s="238"/>
      <c r="AA4" s="238"/>
      <c r="AB4" s="239"/>
      <c r="AC4" s="239"/>
      <c r="AD4" s="239"/>
    </row>
    <row r="5" spans="1:30">
      <c r="A5" s="1410"/>
      <c r="B5" s="1567"/>
      <c r="C5" s="1567"/>
      <c r="D5" s="1572"/>
      <c r="E5" s="1567"/>
      <c r="F5" s="1568" t="s">
        <v>158</v>
      </c>
      <c r="G5" s="246" t="s">
        <v>357</v>
      </c>
      <c r="H5" s="246"/>
      <c r="I5" s="246"/>
      <c r="J5" s="246"/>
      <c r="K5" s="246"/>
      <c r="L5" s="246"/>
      <c r="M5" s="246"/>
      <c r="N5" s="246"/>
      <c r="O5" s="246"/>
      <c r="P5" s="246"/>
      <c r="Q5" s="246"/>
      <c r="R5" s="1567" t="s">
        <v>358</v>
      </c>
      <c r="S5" s="1568" t="s">
        <v>163</v>
      </c>
      <c r="T5" s="246" t="s">
        <v>2</v>
      </c>
      <c r="U5" s="246"/>
      <c r="V5" s="246"/>
      <c r="W5" s="246"/>
      <c r="X5" s="1575" t="s">
        <v>148</v>
      </c>
      <c r="Y5" s="1567" t="s">
        <v>127</v>
      </c>
      <c r="Z5" s="238"/>
      <c r="AA5" s="238"/>
      <c r="AB5" s="239"/>
      <c r="AC5" s="239"/>
      <c r="AD5" s="239"/>
    </row>
    <row r="6" spans="1:30" s="104" customFormat="1">
      <c r="A6" s="1410"/>
      <c r="B6" s="1567"/>
      <c r="C6" s="1567"/>
      <c r="D6" s="1572"/>
      <c r="E6" s="1567"/>
      <c r="F6" s="1569"/>
      <c r="G6" s="1578" t="s">
        <v>359</v>
      </c>
      <c r="H6" s="1581" t="s">
        <v>2</v>
      </c>
      <c r="I6" s="1582"/>
      <c r="J6" s="1582"/>
      <c r="K6" s="1582"/>
      <c r="L6" s="1582"/>
      <c r="M6" s="1583"/>
      <c r="N6" s="1578" t="s">
        <v>164</v>
      </c>
      <c r="O6" s="1581" t="s">
        <v>2</v>
      </c>
      <c r="P6" s="1582"/>
      <c r="Q6" s="1583"/>
      <c r="R6" s="1567"/>
      <c r="S6" s="1569"/>
      <c r="T6" s="1560" t="s">
        <v>360</v>
      </c>
      <c r="U6" s="1560" t="s">
        <v>361</v>
      </c>
      <c r="V6" s="1560" t="s">
        <v>362</v>
      </c>
      <c r="W6" s="1560" t="s">
        <v>363</v>
      </c>
      <c r="X6" s="1576"/>
      <c r="Y6" s="1567"/>
      <c r="Z6" s="368"/>
      <c r="AA6" s="368"/>
      <c r="AB6" s="369"/>
      <c r="AC6" s="369"/>
      <c r="AD6" s="369"/>
    </row>
    <row r="7" spans="1:30" s="104" customFormat="1">
      <c r="A7" s="1410"/>
      <c r="B7" s="1567"/>
      <c r="C7" s="1567"/>
      <c r="D7" s="1572"/>
      <c r="E7" s="1567"/>
      <c r="F7" s="1569"/>
      <c r="G7" s="1579"/>
      <c r="H7" s="1563" t="s">
        <v>470</v>
      </c>
      <c r="I7" s="1563" t="s">
        <v>364</v>
      </c>
      <c r="J7" s="1564" t="s">
        <v>365</v>
      </c>
      <c r="K7" s="1566" t="s">
        <v>2</v>
      </c>
      <c r="L7" s="1566"/>
      <c r="M7" s="1564" t="s">
        <v>187</v>
      </c>
      <c r="N7" s="1579"/>
      <c r="O7" s="1563" t="s">
        <v>165</v>
      </c>
      <c r="P7" s="1563" t="s">
        <v>366</v>
      </c>
      <c r="Q7" s="1563" t="s">
        <v>166</v>
      </c>
      <c r="R7" s="1567"/>
      <c r="S7" s="1569"/>
      <c r="T7" s="1561"/>
      <c r="U7" s="1561"/>
      <c r="V7" s="1561"/>
      <c r="W7" s="1561"/>
      <c r="X7" s="1576"/>
      <c r="Y7" s="1567"/>
      <c r="Z7" s="368"/>
      <c r="AA7" s="368"/>
      <c r="AB7" s="369"/>
      <c r="AC7" s="369"/>
      <c r="AD7" s="369"/>
    </row>
    <row r="8" spans="1:30" s="104" customFormat="1" ht="54">
      <c r="A8" s="1410"/>
      <c r="B8" s="1567"/>
      <c r="C8" s="1567"/>
      <c r="D8" s="1573"/>
      <c r="E8" s="1567"/>
      <c r="F8" s="1570"/>
      <c r="G8" s="1580"/>
      <c r="H8" s="1563"/>
      <c r="I8" s="1563"/>
      <c r="J8" s="1565"/>
      <c r="K8" s="367" t="s">
        <v>367</v>
      </c>
      <c r="L8" s="367" t="s">
        <v>368</v>
      </c>
      <c r="M8" s="1565"/>
      <c r="N8" s="1580"/>
      <c r="O8" s="1563"/>
      <c r="P8" s="1563"/>
      <c r="Q8" s="1563"/>
      <c r="R8" s="1567"/>
      <c r="S8" s="1570"/>
      <c r="T8" s="1562"/>
      <c r="U8" s="1562"/>
      <c r="V8" s="1562"/>
      <c r="W8" s="1562"/>
      <c r="X8" s="1577"/>
      <c r="Y8" s="1567"/>
      <c r="Z8" s="368"/>
      <c r="AA8" s="368"/>
      <c r="AB8" s="369"/>
      <c r="AC8" s="369"/>
      <c r="AD8" s="369" t="s">
        <v>128</v>
      </c>
    </row>
    <row r="9" spans="1:30" ht="25.5">
      <c r="A9" s="1" t="s">
        <v>140</v>
      </c>
      <c r="B9" s="256" t="s">
        <v>370</v>
      </c>
      <c r="C9" s="1" t="s">
        <v>103</v>
      </c>
      <c r="D9" s="249"/>
      <c r="E9" s="250" t="e">
        <f>+#REF!+#REF!+E10+E21+#REF!</f>
        <v>#REF!</v>
      </c>
      <c r="F9" s="250" t="e">
        <f>+#REF!+#REF!+F10+F21+#REF!</f>
        <v>#REF!</v>
      </c>
      <c r="G9" s="250" t="e">
        <f>+#REF!+#REF!+G10+G21+#REF!</f>
        <v>#REF!</v>
      </c>
      <c r="H9" s="250" t="e">
        <f>+#REF!+#REF!+H10+H21+#REF!</f>
        <v>#REF!</v>
      </c>
      <c r="I9" s="250" t="e">
        <f>+#REF!+#REF!+I10+I21+#REF!</f>
        <v>#REF!</v>
      </c>
      <c r="J9" s="250" t="e">
        <f>+#REF!+#REF!+J10+J21+#REF!</f>
        <v>#REF!</v>
      </c>
      <c r="K9" s="250" t="e">
        <f>+#REF!+#REF!+K10+K21+#REF!</f>
        <v>#REF!</v>
      </c>
      <c r="L9" s="250" t="e">
        <f>+#REF!+#REF!+L10+L21+#REF!</f>
        <v>#REF!</v>
      </c>
      <c r="M9" s="250" t="e">
        <f>+#REF!+#REF!+M10+M21+#REF!</f>
        <v>#REF!</v>
      </c>
      <c r="N9" s="250" t="e">
        <f>+#REF!+#REF!+N10+N21+#REF!</f>
        <v>#REF!</v>
      </c>
      <c r="O9" s="250" t="e">
        <f>+#REF!+#REF!+O10+O21+#REF!</f>
        <v>#REF!</v>
      </c>
      <c r="P9" s="250" t="e">
        <f>+#REF!+#REF!+P10+P21+#REF!</f>
        <v>#REF!</v>
      </c>
      <c r="Q9" s="250" t="e">
        <f>+#REF!+#REF!+Q10+Q21+#REF!</f>
        <v>#REF!</v>
      </c>
      <c r="R9" s="250" t="e">
        <f>+#REF!+#REF!+R10+R21+#REF!</f>
        <v>#REF!</v>
      </c>
      <c r="S9" s="250" t="e">
        <f>+#REF!+#REF!+S10+S21+#REF!</f>
        <v>#REF!</v>
      </c>
      <c r="T9" s="250" t="e">
        <f>+#REF!+#REF!+T10+T21+#REF!</f>
        <v>#REF!</v>
      </c>
      <c r="U9" s="250" t="e">
        <f>+#REF!+#REF!+U10+U21+#REF!</f>
        <v>#REF!</v>
      </c>
      <c r="V9" s="250" t="e">
        <f>+#REF!+#REF!+V10+V21+#REF!</f>
        <v>#REF!</v>
      </c>
      <c r="W9" s="250" t="e">
        <f>+#REF!+#REF!+W10+W21+#REF!</f>
        <v>#REF!</v>
      </c>
      <c r="X9" s="250" t="e">
        <f>+#REF!+#REF!+X10+X21+#REF!</f>
        <v>#REF!</v>
      </c>
      <c r="Y9" s="250" t="e">
        <f>+#REF!+#REF!+Y10+Y21+#REF!</f>
        <v>#REF!</v>
      </c>
      <c r="Z9" s="257" t="e">
        <f>+#REF!+#REF!+Z10+Z21+#REF!</f>
        <v>#REF!</v>
      </c>
      <c r="AA9" s="257" t="e">
        <f>+#REF!+#REF!+AA10+AA21+#REF!</f>
        <v>#REF!</v>
      </c>
      <c r="AB9" s="257" t="e">
        <f>+#REF!+#REF!+AB10+AB21+#REF!</f>
        <v>#REF!</v>
      </c>
      <c r="AC9" s="252" t="e">
        <f t="shared" ref="AC9:AC30" si="0">+E9-G9-N9-R9-S9-X9-Y9</f>
        <v>#REF!</v>
      </c>
      <c r="AD9" s="253" t="e">
        <f t="shared" ref="AD9:AD30" si="1">+E9-F9-R9-S9-X9-Y9</f>
        <v>#REF!</v>
      </c>
    </row>
    <row r="10" spans="1:30" ht="15.75">
      <c r="A10" s="301" t="s">
        <v>80</v>
      </c>
      <c r="B10" s="302" t="s">
        <v>384</v>
      </c>
      <c r="C10" s="301" t="s">
        <v>103</v>
      </c>
      <c r="D10" s="303"/>
      <c r="E10" s="304">
        <f>+E11+E12+E15+E19</f>
        <v>13281.6</v>
      </c>
      <c r="F10" s="304">
        <f t="shared" ref="F10:AB10" si="2">+F11+F12+F15+F19</f>
        <v>13281.6</v>
      </c>
      <c r="G10" s="259">
        <f t="shared" si="2"/>
        <v>8536.9599999999991</v>
      </c>
      <c r="H10" s="259">
        <f t="shared" si="2"/>
        <v>0</v>
      </c>
      <c r="I10" s="259">
        <f t="shared" si="2"/>
        <v>0</v>
      </c>
      <c r="J10" s="259">
        <f t="shared" si="2"/>
        <v>3851.9</v>
      </c>
      <c r="K10" s="259">
        <f t="shared" si="2"/>
        <v>868</v>
      </c>
      <c r="L10" s="259">
        <f t="shared" si="2"/>
        <v>2983.9</v>
      </c>
      <c r="M10" s="259">
        <f t="shared" si="2"/>
        <v>4685.0599999999995</v>
      </c>
      <c r="N10" s="304">
        <f t="shared" si="2"/>
        <v>4744.6399999999994</v>
      </c>
      <c r="O10" s="304">
        <f t="shared" si="2"/>
        <v>0</v>
      </c>
      <c r="P10" s="304">
        <f t="shared" si="2"/>
        <v>0</v>
      </c>
      <c r="Q10" s="304">
        <f t="shared" si="2"/>
        <v>4744.6399999999994</v>
      </c>
      <c r="R10" s="304">
        <f t="shared" si="2"/>
        <v>0</v>
      </c>
      <c r="S10" s="304">
        <f t="shared" si="2"/>
        <v>0</v>
      </c>
      <c r="T10" s="304">
        <f t="shared" si="2"/>
        <v>0</v>
      </c>
      <c r="U10" s="304">
        <f t="shared" si="2"/>
        <v>0</v>
      </c>
      <c r="V10" s="304">
        <f t="shared" si="2"/>
        <v>0</v>
      </c>
      <c r="W10" s="304">
        <f t="shared" si="2"/>
        <v>0</v>
      </c>
      <c r="X10" s="304">
        <f t="shared" si="2"/>
        <v>0</v>
      </c>
      <c r="Y10" s="304">
        <f t="shared" si="2"/>
        <v>0</v>
      </c>
      <c r="Z10" s="305">
        <f t="shared" si="2"/>
        <v>0</v>
      </c>
      <c r="AA10" s="305">
        <f t="shared" si="2"/>
        <v>0</v>
      </c>
      <c r="AB10" s="305">
        <f t="shared" si="2"/>
        <v>0</v>
      </c>
      <c r="AC10" s="252">
        <f t="shared" si="0"/>
        <v>1.8189894035458565E-12</v>
      </c>
      <c r="AD10" s="253">
        <f t="shared" si="1"/>
        <v>0</v>
      </c>
    </row>
    <row r="11" spans="1:30" ht="15.75">
      <c r="A11" s="261">
        <v>1</v>
      </c>
      <c r="B11" s="255" t="s">
        <v>369</v>
      </c>
      <c r="C11" s="254" t="s">
        <v>71</v>
      </c>
      <c r="D11" s="254"/>
      <c r="E11" s="262"/>
      <c r="F11" s="262">
        <f>+G11+N11</f>
        <v>0</v>
      </c>
      <c r="G11" s="263">
        <f t="shared" ref="G11:G30" si="3">+H11+I11+J11+M11</f>
        <v>0</v>
      </c>
      <c r="H11" s="262"/>
      <c r="I11" s="262"/>
      <c r="J11" s="263">
        <f t="shared" ref="J11:J30" si="4">+K11+L11</f>
        <v>0</v>
      </c>
      <c r="K11" s="262"/>
      <c r="L11" s="262"/>
      <c r="M11" s="262"/>
      <c r="N11" s="262">
        <f>+O11+P11+Q11</f>
        <v>0</v>
      </c>
      <c r="O11" s="262"/>
      <c r="P11" s="262"/>
      <c r="Q11" s="262"/>
      <c r="R11" s="264"/>
      <c r="S11" s="265"/>
      <c r="T11" s="266"/>
      <c r="U11" s="266"/>
      <c r="V11" s="266"/>
      <c r="W11" s="266"/>
      <c r="X11" s="266"/>
      <c r="Y11" s="266"/>
      <c r="Z11" s="267"/>
      <c r="AA11" s="268"/>
      <c r="AB11" s="269"/>
      <c r="AC11" s="252">
        <f t="shared" si="0"/>
        <v>0</v>
      </c>
      <c r="AD11" s="253">
        <f t="shared" si="1"/>
        <v>0</v>
      </c>
    </row>
    <row r="12" spans="1:30" ht="15.75">
      <c r="A12" s="306">
        <v>1</v>
      </c>
      <c r="B12" s="307" t="s">
        <v>385</v>
      </c>
      <c r="C12" s="306"/>
      <c r="D12" s="308"/>
      <c r="E12" s="309">
        <f>E13+E14</f>
        <v>0</v>
      </c>
      <c r="F12" s="309">
        <f t="shared" ref="F12:Y12" si="5">F13+F14</f>
        <v>0</v>
      </c>
      <c r="G12" s="263">
        <f t="shared" si="3"/>
        <v>0</v>
      </c>
      <c r="H12" s="262">
        <f t="shared" si="5"/>
        <v>0</v>
      </c>
      <c r="I12" s="262">
        <f t="shared" si="5"/>
        <v>0</v>
      </c>
      <c r="J12" s="263">
        <f t="shared" si="4"/>
        <v>0</v>
      </c>
      <c r="K12" s="262">
        <f t="shared" si="5"/>
        <v>0</v>
      </c>
      <c r="L12" s="262">
        <f t="shared" si="5"/>
        <v>0</v>
      </c>
      <c r="M12" s="262">
        <f t="shared" si="5"/>
        <v>0</v>
      </c>
      <c r="N12" s="309">
        <f t="shared" si="5"/>
        <v>0</v>
      </c>
      <c r="O12" s="309">
        <f t="shared" si="5"/>
        <v>0</v>
      </c>
      <c r="P12" s="309">
        <f t="shared" si="5"/>
        <v>0</v>
      </c>
      <c r="Q12" s="309">
        <f t="shared" si="5"/>
        <v>0</v>
      </c>
      <c r="R12" s="309">
        <f t="shared" si="5"/>
        <v>0</v>
      </c>
      <c r="S12" s="309">
        <f t="shared" si="5"/>
        <v>0</v>
      </c>
      <c r="T12" s="309">
        <f t="shared" si="5"/>
        <v>0</v>
      </c>
      <c r="U12" s="309">
        <f t="shared" si="5"/>
        <v>0</v>
      </c>
      <c r="V12" s="309">
        <f t="shared" si="5"/>
        <v>0</v>
      </c>
      <c r="W12" s="309">
        <f t="shared" si="5"/>
        <v>0</v>
      </c>
      <c r="X12" s="309">
        <f t="shared" si="5"/>
        <v>0</v>
      </c>
      <c r="Y12" s="309">
        <f t="shared" si="5"/>
        <v>0</v>
      </c>
      <c r="Z12" s="310">
        <f>Z13+Z14</f>
        <v>0</v>
      </c>
      <c r="AA12" s="310">
        <f>AA13+AA14</f>
        <v>0</v>
      </c>
      <c r="AB12" s="310">
        <f>AB13+AB14</f>
        <v>0</v>
      </c>
      <c r="AC12" s="252">
        <f t="shared" si="0"/>
        <v>0</v>
      </c>
      <c r="AD12" s="253">
        <f t="shared" si="1"/>
        <v>0</v>
      </c>
    </row>
    <row r="13" spans="1:30" ht="15.75" hidden="1">
      <c r="A13" s="311" t="s">
        <v>81</v>
      </c>
      <c r="B13" s="312" t="s">
        <v>372</v>
      </c>
      <c r="C13" s="313" t="s">
        <v>69</v>
      </c>
      <c r="D13" s="314"/>
      <c r="E13" s="263"/>
      <c r="F13" s="263"/>
      <c r="G13" s="263"/>
      <c r="H13" s="262"/>
      <c r="I13" s="262"/>
      <c r="J13" s="263"/>
      <c r="K13" s="262"/>
      <c r="L13" s="262"/>
      <c r="M13" s="263"/>
      <c r="N13" s="263"/>
      <c r="O13" s="263"/>
      <c r="P13" s="263"/>
      <c r="Q13" s="263"/>
      <c r="R13" s="263"/>
      <c r="S13" s="263"/>
      <c r="T13" s="263"/>
      <c r="U13" s="263"/>
      <c r="V13" s="263"/>
      <c r="W13" s="263"/>
      <c r="X13" s="263"/>
      <c r="Y13" s="263"/>
      <c r="Z13" s="290"/>
      <c r="AA13" s="291"/>
      <c r="AB13" s="292"/>
      <c r="AC13" s="252"/>
      <c r="AD13" s="253">
        <f t="shared" si="1"/>
        <v>0</v>
      </c>
    </row>
    <row r="14" spans="1:30" ht="15.75" hidden="1">
      <c r="A14" s="270" t="s">
        <v>81</v>
      </c>
      <c r="B14" s="102" t="s">
        <v>182</v>
      </c>
      <c r="C14" s="2" t="s">
        <v>69</v>
      </c>
      <c r="D14" s="297"/>
      <c r="E14" s="263"/>
      <c r="F14" s="263"/>
      <c r="G14" s="263"/>
      <c r="H14" s="262"/>
      <c r="I14" s="262"/>
      <c r="J14" s="263"/>
      <c r="K14" s="262"/>
      <c r="L14" s="262"/>
      <c r="M14" s="263"/>
      <c r="N14" s="263"/>
      <c r="O14" s="263"/>
      <c r="P14" s="263"/>
      <c r="Q14" s="263"/>
      <c r="R14" s="263"/>
      <c r="S14" s="263"/>
      <c r="T14" s="263"/>
      <c r="U14" s="263"/>
      <c r="V14" s="263"/>
      <c r="W14" s="263"/>
      <c r="X14" s="263"/>
      <c r="Y14" s="263"/>
      <c r="Z14" s="290"/>
      <c r="AA14" s="291"/>
      <c r="AB14" s="292"/>
      <c r="AC14" s="252"/>
      <c r="AD14" s="253">
        <f t="shared" si="1"/>
        <v>0</v>
      </c>
    </row>
    <row r="15" spans="1:30" ht="15.75">
      <c r="A15" s="254">
        <v>2</v>
      </c>
      <c r="B15" s="315" t="s">
        <v>75</v>
      </c>
      <c r="C15" s="254"/>
      <c r="D15" s="316"/>
      <c r="E15" s="266">
        <f>SUM(E16:E18)</f>
        <v>11781.6</v>
      </c>
      <c r="F15" s="266">
        <f t="shared" ref="F15:AB15" si="6">SUM(F16:F18)</f>
        <v>11781.6</v>
      </c>
      <c r="G15" s="263">
        <f t="shared" si="3"/>
        <v>7336.96</v>
      </c>
      <c r="H15" s="262">
        <f t="shared" si="6"/>
        <v>0</v>
      </c>
      <c r="I15" s="262">
        <f t="shared" si="6"/>
        <v>0</v>
      </c>
      <c r="J15" s="263">
        <f t="shared" si="4"/>
        <v>3851.9</v>
      </c>
      <c r="K15" s="262">
        <f t="shared" si="6"/>
        <v>868</v>
      </c>
      <c r="L15" s="262">
        <f t="shared" si="6"/>
        <v>2983.9</v>
      </c>
      <c r="M15" s="262">
        <f t="shared" si="6"/>
        <v>3485.06</v>
      </c>
      <c r="N15" s="266">
        <f t="shared" si="6"/>
        <v>4444.6399999999994</v>
      </c>
      <c r="O15" s="266">
        <f t="shared" si="6"/>
        <v>0</v>
      </c>
      <c r="P15" s="266">
        <f t="shared" si="6"/>
        <v>0</v>
      </c>
      <c r="Q15" s="266">
        <f t="shared" si="6"/>
        <v>4444.6399999999994</v>
      </c>
      <c r="R15" s="266">
        <f t="shared" si="6"/>
        <v>0</v>
      </c>
      <c r="S15" s="266">
        <f t="shared" si="6"/>
        <v>0</v>
      </c>
      <c r="T15" s="266">
        <f t="shared" si="6"/>
        <v>0</v>
      </c>
      <c r="U15" s="266">
        <f t="shared" si="6"/>
        <v>0</v>
      </c>
      <c r="V15" s="266">
        <f t="shared" si="6"/>
        <v>0</v>
      </c>
      <c r="W15" s="266">
        <f t="shared" si="6"/>
        <v>0</v>
      </c>
      <c r="X15" s="266">
        <f t="shared" si="6"/>
        <v>0</v>
      </c>
      <c r="Y15" s="266">
        <f t="shared" si="6"/>
        <v>0</v>
      </c>
      <c r="Z15" s="317">
        <f t="shared" si="6"/>
        <v>0</v>
      </c>
      <c r="AA15" s="317">
        <f t="shared" si="6"/>
        <v>0</v>
      </c>
      <c r="AB15" s="317">
        <f t="shared" si="6"/>
        <v>0</v>
      </c>
      <c r="AC15" s="252">
        <f t="shared" si="0"/>
        <v>9.0949470177292824E-13</v>
      </c>
      <c r="AD15" s="253">
        <f t="shared" si="1"/>
        <v>0</v>
      </c>
    </row>
    <row r="16" spans="1:30" ht="15.75">
      <c r="A16" s="311" t="s">
        <v>81</v>
      </c>
      <c r="B16" s="318" t="s">
        <v>386</v>
      </c>
      <c r="C16" s="319" t="s">
        <v>71</v>
      </c>
      <c r="D16" s="320">
        <v>1</v>
      </c>
      <c r="E16" s="287">
        <v>1000</v>
      </c>
      <c r="F16" s="263">
        <f>+G16+N16</f>
        <v>1000</v>
      </c>
      <c r="G16" s="263">
        <f t="shared" si="3"/>
        <v>868</v>
      </c>
      <c r="H16" s="262"/>
      <c r="I16" s="262"/>
      <c r="J16" s="263">
        <f t="shared" si="4"/>
        <v>868</v>
      </c>
      <c r="K16" s="262">
        <f>+'[76]Vốn NTM 2021,2025'!J22</f>
        <v>868</v>
      </c>
      <c r="L16" s="262"/>
      <c r="M16" s="287"/>
      <c r="N16" s="263">
        <f>+O16+P16+Q16</f>
        <v>132</v>
      </c>
      <c r="O16" s="287"/>
      <c r="P16" s="287"/>
      <c r="Q16" s="287">
        <f>+E16-G16</f>
        <v>132</v>
      </c>
      <c r="R16" s="263"/>
      <c r="S16" s="263"/>
      <c r="T16" s="263"/>
      <c r="U16" s="263"/>
      <c r="V16" s="263"/>
      <c r="W16" s="263"/>
      <c r="X16" s="263"/>
      <c r="Y16" s="263"/>
      <c r="Z16" s="288"/>
      <c r="AA16" s="288"/>
      <c r="AB16" s="31"/>
      <c r="AC16" s="252">
        <f t="shared" si="0"/>
        <v>0</v>
      </c>
      <c r="AD16" s="253">
        <f t="shared" si="1"/>
        <v>0</v>
      </c>
    </row>
    <row r="17" spans="1:30" ht="25.5">
      <c r="A17" s="311" t="s">
        <v>81</v>
      </c>
      <c r="B17" s="318" t="s">
        <v>387</v>
      </c>
      <c r="C17" s="319" t="s">
        <v>71</v>
      </c>
      <c r="D17" s="320">
        <v>1</v>
      </c>
      <c r="E17" s="287">
        <f>+(10*53+6*65)*6.5+900</f>
        <v>6880</v>
      </c>
      <c r="F17" s="263">
        <f>+G17+N17</f>
        <v>6880</v>
      </c>
      <c r="G17" s="263">
        <f t="shared" si="3"/>
        <v>4128</v>
      </c>
      <c r="H17" s="262"/>
      <c r="I17" s="262"/>
      <c r="J17" s="263">
        <f t="shared" si="4"/>
        <v>2983.9</v>
      </c>
      <c r="K17" s="262"/>
      <c r="L17" s="262">
        <v>2983.9</v>
      </c>
      <c r="M17" s="287">
        <f>+E17*0.6-J17</f>
        <v>1144.0999999999999</v>
      </c>
      <c r="N17" s="263">
        <f>+O17+P17+Q17</f>
        <v>2752</v>
      </c>
      <c r="O17" s="287"/>
      <c r="P17" s="287"/>
      <c r="Q17" s="287">
        <f>+E17-G17</f>
        <v>2752</v>
      </c>
      <c r="R17" s="263"/>
      <c r="S17" s="263"/>
      <c r="T17" s="263"/>
      <c r="U17" s="263"/>
      <c r="V17" s="263"/>
      <c r="W17" s="263"/>
      <c r="X17" s="263"/>
      <c r="Y17" s="263"/>
      <c r="Z17" s="288"/>
      <c r="AA17" s="288"/>
      <c r="AB17" s="31"/>
      <c r="AC17" s="252">
        <f t="shared" si="0"/>
        <v>0</v>
      </c>
      <c r="AD17" s="253">
        <f t="shared" si="1"/>
        <v>0</v>
      </c>
    </row>
    <row r="18" spans="1:30" ht="63.75">
      <c r="A18" s="311" t="s">
        <v>81</v>
      </c>
      <c r="B18" s="321" t="s">
        <v>388</v>
      </c>
      <c r="C18" s="2" t="s">
        <v>71</v>
      </c>
      <c r="D18" s="322">
        <v>1</v>
      </c>
      <c r="E18" s="287">
        <v>3901.6</v>
      </c>
      <c r="F18" s="263">
        <f>+G18+N18</f>
        <v>3901.6</v>
      </c>
      <c r="G18" s="263">
        <f t="shared" si="3"/>
        <v>2340.96</v>
      </c>
      <c r="H18" s="262"/>
      <c r="I18" s="262"/>
      <c r="J18" s="263">
        <f t="shared" si="4"/>
        <v>0</v>
      </c>
      <c r="K18" s="262"/>
      <c r="L18" s="262"/>
      <c r="M18" s="287">
        <f>+E18*0.6-J18</f>
        <v>2340.96</v>
      </c>
      <c r="N18" s="263">
        <f>+O18+P18+Q18</f>
        <v>1560.6399999999999</v>
      </c>
      <c r="O18" s="287"/>
      <c r="P18" s="287"/>
      <c r="Q18" s="287">
        <f>+E18-G18</f>
        <v>1560.6399999999999</v>
      </c>
      <c r="R18" s="263"/>
      <c r="S18" s="263"/>
      <c r="T18" s="263"/>
      <c r="U18" s="263"/>
      <c r="V18" s="263"/>
      <c r="W18" s="263"/>
      <c r="X18" s="263"/>
      <c r="Y18" s="263"/>
      <c r="Z18" s="288"/>
      <c r="AA18" s="288"/>
      <c r="AB18" s="31"/>
      <c r="AC18" s="252">
        <f t="shared" si="0"/>
        <v>0</v>
      </c>
      <c r="AD18" s="253">
        <f t="shared" si="1"/>
        <v>0</v>
      </c>
    </row>
    <row r="19" spans="1:30" ht="15.75">
      <c r="A19" s="306">
        <v>3</v>
      </c>
      <c r="B19" s="307" t="s">
        <v>389</v>
      </c>
      <c r="C19" s="306"/>
      <c r="D19" s="323"/>
      <c r="E19" s="309">
        <f>E20</f>
        <v>1500</v>
      </c>
      <c r="F19" s="309">
        <f>F20</f>
        <v>1500</v>
      </c>
      <c r="G19" s="263">
        <f t="shared" si="3"/>
        <v>1200</v>
      </c>
      <c r="H19" s="262">
        <f t="shared" ref="H19:V19" si="7">H20</f>
        <v>0</v>
      </c>
      <c r="I19" s="262">
        <f t="shared" si="7"/>
        <v>0</v>
      </c>
      <c r="J19" s="263">
        <f t="shared" si="4"/>
        <v>0</v>
      </c>
      <c r="K19" s="262">
        <f t="shared" si="7"/>
        <v>0</v>
      </c>
      <c r="L19" s="262">
        <f t="shared" si="7"/>
        <v>0</v>
      </c>
      <c r="M19" s="262">
        <f t="shared" si="7"/>
        <v>1200</v>
      </c>
      <c r="N19" s="309">
        <f t="shared" si="7"/>
        <v>300</v>
      </c>
      <c r="O19" s="309">
        <f t="shared" si="7"/>
        <v>0</v>
      </c>
      <c r="P19" s="309">
        <f t="shared" si="7"/>
        <v>0</v>
      </c>
      <c r="Q19" s="309">
        <f t="shared" si="7"/>
        <v>300</v>
      </c>
      <c r="R19" s="309">
        <f t="shared" si="7"/>
        <v>0</v>
      </c>
      <c r="S19" s="309">
        <f t="shared" si="7"/>
        <v>0</v>
      </c>
      <c r="T19" s="309">
        <f t="shared" si="7"/>
        <v>0</v>
      </c>
      <c r="U19" s="309">
        <f t="shared" si="7"/>
        <v>0</v>
      </c>
      <c r="V19" s="309">
        <f t="shared" si="7"/>
        <v>0</v>
      </c>
      <c r="W19" s="266"/>
      <c r="X19" s="266"/>
      <c r="Y19" s="300"/>
      <c r="Z19" s="295"/>
      <c r="AA19" s="286"/>
      <c r="AB19" s="296"/>
      <c r="AC19" s="252">
        <f t="shared" si="0"/>
        <v>0</v>
      </c>
      <c r="AD19" s="253">
        <f t="shared" si="1"/>
        <v>0</v>
      </c>
    </row>
    <row r="20" spans="1:30" ht="15.75">
      <c r="A20" s="311" t="s">
        <v>81</v>
      </c>
      <c r="B20" s="318" t="s">
        <v>390</v>
      </c>
      <c r="C20" s="319" t="s">
        <v>71</v>
      </c>
      <c r="D20" s="324">
        <v>1</v>
      </c>
      <c r="E20" s="287">
        <v>1500</v>
      </c>
      <c r="F20" s="263">
        <f>+G20+N20</f>
        <v>1500</v>
      </c>
      <c r="G20" s="263">
        <f t="shared" si="3"/>
        <v>1200</v>
      </c>
      <c r="H20" s="262"/>
      <c r="I20" s="262"/>
      <c r="J20" s="263">
        <f t="shared" si="4"/>
        <v>0</v>
      </c>
      <c r="K20" s="262"/>
      <c r="L20" s="262"/>
      <c r="M20" s="287">
        <f>+E20*0.8-J20</f>
        <v>1200</v>
      </c>
      <c r="N20" s="263">
        <f>+O20+P20+Q20</f>
        <v>300</v>
      </c>
      <c r="O20" s="287"/>
      <c r="P20" s="287"/>
      <c r="Q20" s="287">
        <f>+E20-G20</f>
        <v>300</v>
      </c>
      <c r="R20" s="287"/>
      <c r="S20" s="287"/>
      <c r="T20" s="287"/>
      <c r="U20" s="287"/>
      <c r="V20" s="287"/>
      <c r="W20" s="279"/>
      <c r="X20" s="279"/>
      <c r="Y20" s="298"/>
      <c r="Z20" s="299"/>
      <c r="AA20" s="31"/>
      <c r="AB20" s="294"/>
      <c r="AC20" s="252">
        <f t="shared" si="0"/>
        <v>0</v>
      </c>
      <c r="AD20" s="253">
        <f t="shared" si="1"/>
        <v>0</v>
      </c>
    </row>
    <row r="21" spans="1:30" ht="15.75">
      <c r="A21" s="301" t="s">
        <v>82</v>
      </c>
      <c r="B21" s="302" t="s">
        <v>391</v>
      </c>
      <c r="C21" s="301" t="s">
        <v>103</v>
      </c>
      <c r="D21" s="303"/>
      <c r="E21" s="304">
        <f>+E22+E23+E25+E29</f>
        <v>13440</v>
      </c>
      <c r="F21" s="304">
        <f t="shared" ref="F21:AB21" si="8">+F22+F23+F25+F29</f>
        <v>12621</v>
      </c>
      <c r="G21" s="304">
        <f t="shared" si="8"/>
        <v>7285</v>
      </c>
      <c r="H21" s="304">
        <f t="shared" si="8"/>
        <v>100</v>
      </c>
      <c r="I21" s="304">
        <f t="shared" si="8"/>
        <v>0</v>
      </c>
      <c r="J21" s="304">
        <f t="shared" si="8"/>
        <v>3851.9</v>
      </c>
      <c r="K21" s="304">
        <f t="shared" si="8"/>
        <v>868</v>
      </c>
      <c r="L21" s="304">
        <f t="shared" si="8"/>
        <v>2983.9</v>
      </c>
      <c r="M21" s="304">
        <f t="shared" si="8"/>
        <v>3333.1</v>
      </c>
      <c r="N21" s="304">
        <f t="shared" si="8"/>
        <v>5336</v>
      </c>
      <c r="O21" s="304">
        <f t="shared" si="8"/>
        <v>546</v>
      </c>
      <c r="P21" s="304">
        <f t="shared" si="8"/>
        <v>0</v>
      </c>
      <c r="Q21" s="304">
        <f t="shared" si="8"/>
        <v>4790</v>
      </c>
      <c r="R21" s="304">
        <f t="shared" si="8"/>
        <v>0</v>
      </c>
      <c r="S21" s="304">
        <f t="shared" si="8"/>
        <v>0</v>
      </c>
      <c r="T21" s="304">
        <f t="shared" si="8"/>
        <v>0</v>
      </c>
      <c r="U21" s="304">
        <f t="shared" si="8"/>
        <v>0</v>
      </c>
      <c r="V21" s="304">
        <f t="shared" si="8"/>
        <v>0</v>
      </c>
      <c r="W21" s="304">
        <f t="shared" si="8"/>
        <v>0</v>
      </c>
      <c r="X21" s="304">
        <f t="shared" si="8"/>
        <v>0</v>
      </c>
      <c r="Y21" s="304">
        <f t="shared" si="8"/>
        <v>819</v>
      </c>
      <c r="Z21" s="305">
        <f t="shared" si="8"/>
        <v>0</v>
      </c>
      <c r="AA21" s="305">
        <f t="shared" si="8"/>
        <v>0</v>
      </c>
      <c r="AB21" s="305">
        <f t="shared" si="8"/>
        <v>0</v>
      </c>
      <c r="AC21" s="252">
        <f t="shared" si="0"/>
        <v>0</v>
      </c>
      <c r="AD21" s="253">
        <f t="shared" si="1"/>
        <v>0</v>
      </c>
    </row>
    <row r="22" spans="1:30" ht="15.75">
      <c r="A22" s="261">
        <v>1</v>
      </c>
      <c r="B22" s="255" t="s">
        <v>369</v>
      </c>
      <c r="C22" s="254" t="s">
        <v>71</v>
      </c>
      <c r="D22" s="254"/>
      <c r="E22" s="262"/>
      <c r="F22" s="262">
        <f>+G22+N22</f>
        <v>0</v>
      </c>
      <c r="G22" s="263">
        <f t="shared" si="3"/>
        <v>0</v>
      </c>
      <c r="H22" s="262"/>
      <c r="I22" s="262"/>
      <c r="J22" s="263">
        <f t="shared" si="4"/>
        <v>0</v>
      </c>
      <c r="K22" s="262"/>
      <c r="L22" s="262"/>
      <c r="M22" s="262"/>
      <c r="N22" s="262">
        <f>+O22+P22+Q22</f>
        <v>0</v>
      </c>
      <c r="O22" s="262"/>
      <c r="P22" s="262"/>
      <c r="Q22" s="262"/>
      <c r="R22" s="264"/>
      <c r="S22" s="265"/>
      <c r="T22" s="266"/>
      <c r="U22" s="266"/>
      <c r="V22" s="266"/>
      <c r="W22" s="266"/>
      <c r="X22" s="266"/>
      <c r="Y22" s="266"/>
      <c r="Z22" s="267"/>
      <c r="AA22" s="268"/>
      <c r="AB22" s="269"/>
      <c r="AC22" s="252">
        <f t="shared" si="0"/>
        <v>0</v>
      </c>
      <c r="AD22" s="253">
        <f t="shared" si="1"/>
        <v>0</v>
      </c>
    </row>
    <row r="23" spans="1:30" ht="15.75">
      <c r="A23" s="306">
        <v>1</v>
      </c>
      <c r="B23" s="307" t="s">
        <v>385</v>
      </c>
      <c r="C23" s="306"/>
      <c r="D23" s="308"/>
      <c r="E23" s="309">
        <f>+E24</f>
        <v>1365</v>
      </c>
      <c r="F23" s="309">
        <f t="shared" ref="F23:AB23" si="9">+F24</f>
        <v>546</v>
      </c>
      <c r="G23" s="263">
        <f>+H23+I23+J23+M23</f>
        <v>0</v>
      </c>
      <c r="H23" s="262">
        <f t="shared" si="9"/>
        <v>0</v>
      </c>
      <c r="I23" s="262">
        <f t="shared" si="9"/>
        <v>0</v>
      </c>
      <c r="J23" s="263">
        <f t="shared" si="4"/>
        <v>0</v>
      </c>
      <c r="K23" s="262">
        <f t="shared" si="9"/>
        <v>0</v>
      </c>
      <c r="L23" s="262">
        <f t="shared" si="9"/>
        <v>0</v>
      </c>
      <c r="M23" s="262">
        <f t="shared" si="9"/>
        <v>0</v>
      </c>
      <c r="N23" s="309">
        <f t="shared" si="9"/>
        <v>546</v>
      </c>
      <c r="O23" s="309">
        <f t="shared" si="9"/>
        <v>546</v>
      </c>
      <c r="P23" s="309">
        <f t="shared" si="9"/>
        <v>0</v>
      </c>
      <c r="Q23" s="309">
        <f t="shared" si="9"/>
        <v>0</v>
      </c>
      <c r="R23" s="309">
        <f t="shared" si="9"/>
        <v>0</v>
      </c>
      <c r="S23" s="309">
        <f t="shared" si="9"/>
        <v>0</v>
      </c>
      <c r="T23" s="309">
        <f t="shared" si="9"/>
        <v>0</v>
      </c>
      <c r="U23" s="309">
        <f t="shared" si="9"/>
        <v>0</v>
      </c>
      <c r="V23" s="309">
        <f t="shared" si="9"/>
        <v>0</v>
      </c>
      <c r="W23" s="309">
        <f t="shared" si="9"/>
        <v>0</v>
      </c>
      <c r="X23" s="309">
        <f t="shared" si="9"/>
        <v>0</v>
      </c>
      <c r="Y23" s="309">
        <f t="shared" si="9"/>
        <v>819</v>
      </c>
      <c r="Z23" s="310">
        <f t="shared" si="9"/>
        <v>0</v>
      </c>
      <c r="AA23" s="310">
        <f t="shared" si="9"/>
        <v>0</v>
      </c>
      <c r="AB23" s="310">
        <f t="shared" si="9"/>
        <v>0</v>
      </c>
      <c r="AC23" s="252">
        <f t="shared" si="0"/>
        <v>0</v>
      </c>
      <c r="AD23" s="253">
        <f t="shared" si="1"/>
        <v>0</v>
      </c>
    </row>
    <row r="24" spans="1:30" ht="15.75" hidden="1">
      <c r="A24" s="311" t="s">
        <v>81</v>
      </c>
      <c r="B24" s="312" t="s">
        <v>182</v>
      </c>
      <c r="C24" s="313" t="s">
        <v>69</v>
      </c>
      <c r="D24" s="325">
        <v>2.1</v>
      </c>
      <c r="E24" s="263">
        <f>+D24*650</f>
        <v>1365</v>
      </c>
      <c r="F24" s="263">
        <f>+G24+N24</f>
        <v>546</v>
      </c>
      <c r="G24" s="263">
        <f t="shared" si="3"/>
        <v>0</v>
      </c>
      <c r="H24" s="262"/>
      <c r="I24" s="262"/>
      <c r="J24" s="263">
        <f t="shared" si="4"/>
        <v>0</v>
      </c>
      <c r="K24" s="262"/>
      <c r="L24" s="262"/>
      <c r="M24" s="263"/>
      <c r="N24" s="263">
        <f>+O24+P24+Q24</f>
        <v>546</v>
      </c>
      <c r="O24" s="263">
        <f>+E24*0.4</f>
        <v>546</v>
      </c>
      <c r="P24" s="263"/>
      <c r="Q24" s="263"/>
      <c r="R24" s="263"/>
      <c r="S24" s="263"/>
      <c r="T24" s="263"/>
      <c r="U24" s="263"/>
      <c r="V24" s="263"/>
      <c r="W24" s="263"/>
      <c r="X24" s="263"/>
      <c r="Y24" s="263">
        <f>+E24-O24</f>
        <v>819</v>
      </c>
      <c r="Z24" s="290"/>
      <c r="AA24" s="291"/>
      <c r="AB24" s="292"/>
      <c r="AC24" s="252">
        <f t="shared" si="0"/>
        <v>0</v>
      </c>
      <c r="AD24" s="253">
        <f t="shared" si="1"/>
        <v>0</v>
      </c>
    </row>
    <row r="25" spans="1:30" ht="15.75">
      <c r="A25" s="306">
        <v>2</v>
      </c>
      <c r="B25" s="307" t="s">
        <v>75</v>
      </c>
      <c r="C25" s="306"/>
      <c r="D25" s="308"/>
      <c r="E25" s="309">
        <f>SUM(E26:E28)</f>
        <v>11975</v>
      </c>
      <c r="F25" s="309">
        <f t="shared" ref="F25:Y25" si="10">SUM(F26:F28)</f>
        <v>11975</v>
      </c>
      <c r="G25" s="263">
        <f t="shared" si="3"/>
        <v>7185</v>
      </c>
      <c r="H25" s="262">
        <f t="shared" si="10"/>
        <v>0</v>
      </c>
      <c r="I25" s="262">
        <f t="shared" si="10"/>
        <v>0</v>
      </c>
      <c r="J25" s="263">
        <f t="shared" si="4"/>
        <v>3851.9</v>
      </c>
      <c r="K25" s="262">
        <f t="shared" si="10"/>
        <v>868</v>
      </c>
      <c r="L25" s="262">
        <f t="shared" si="10"/>
        <v>2983.9</v>
      </c>
      <c r="M25" s="262">
        <f t="shared" si="10"/>
        <v>3333.1</v>
      </c>
      <c r="N25" s="309">
        <f t="shared" si="10"/>
        <v>4790</v>
      </c>
      <c r="O25" s="309">
        <f t="shared" si="10"/>
        <v>0</v>
      </c>
      <c r="P25" s="309">
        <f t="shared" si="10"/>
        <v>0</v>
      </c>
      <c r="Q25" s="309">
        <f t="shared" si="10"/>
        <v>4790</v>
      </c>
      <c r="R25" s="309">
        <f t="shared" si="10"/>
        <v>0</v>
      </c>
      <c r="S25" s="309">
        <f t="shared" si="10"/>
        <v>0</v>
      </c>
      <c r="T25" s="309">
        <f t="shared" si="10"/>
        <v>0</v>
      </c>
      <c r="U25" s="309">
        <f t="shared" si="10"/>
        <v>0</v>
      </c>
      <c r="V25" s="309">
        <f t="shared" si="10"/>
        <v>0</v>
      </c>
      <c r="W25" s="309">
        <f t="shared" si="10"/>
        <v>0</v>
      </c>
      <c r="X25" s="309">
        <f t="shared" si="10"/>
        <v>0</v>
      </c>
      <c r="Y25" s="309">
        <f t="shared" si="10"/>
        <v>0</v>
      </c>
      <c r="Z25" s="295"/>
      <c r="AA25" s="286"/>
      <c r="AB25" s="296"/>
      <c r="AC25" s="252">
        <f t="shared" si="0"/>
        <v>0</v>
      </c>
      <c r="AD25" s="253">
        <f t="shared" si="1"/>
        <v>0</v>
      </c>
    </row>
    <row r="26" spans="1:30" ht="38.25">
      <c r="A26" s="311" t="s">
        <v>81</v>
      </c>
      <c r="B26" s="318" t="s">
        <v>392</v>
      </c>
      <c r="C26" s="319" t="s">
        <v>71</v>
      </c>
      <c r="D26" s="320">
        <v>1</v>
      </c>
      <c r="E26" s="287">
        <f>6.5*4*65</f>
        <v>1690</v>
      </c>
      <c r="F26" s="263">
        <f>+G26+N26</f>
        <v>1690</v>
      </c>
      <c r="G26" s="263">
        <f t="shared" si="3"/>
        <v>1014</v>
      </c>
      <c r="H26" s="262"/>
      <c r="I26" s="262"/>
      <c r="J26" s="263">
        <f t="shared" si="4"/>
        <v>0</v>
      </c>
      <c r="K26" s="262"/>
      <c r="L26" s="262"/>
      <c r="M26" s="287">
        <f>+E26*0.6-J26</f>
        <v>1014</v>
      </c>
      <c r="N26" s="263">
        <f>+O26+P26+Q26</f>
        <v>676</v>
      </c>
      <c r="O26" s="287"/>
      <c r="P26" s="287"/>
      <c r="Q26" s="287">
        <f>+E26-G26</f>
        <v>676</v>
      </c>
      <c r="R26" s="263"/>
      <c r="S26" s="263"/>
      <c r="T26" s="263"/>
      <c r="U26" s="263"/>
      <c r="V26" s="263"/>
      <c r="W26" s="263"/>
      <c r="X26" s="263"/>
      <c r="Y26" s="263"/>
      <c r="Z26" s="288"/>
      <c r="AA26" s="288"/>
      <c r="AB26" s="31"/>
      <c r="AC26" s="252">
        <f t="shared" si="0"/>
        <v>0</v>
      </c>
      <c r="AD26" s="253">
        <f t="shared" si="1"/>
        <v>0</v>
      </c>
    </row>
    <row r="27" spans="1:30" ht="25.5">
      <c r="A27" s="311" t="s">
        <v>81</v>
      </c>
      <c r="B27" s="318" t="s">
        <v>393</v>
      </c>
      <c r="C27" s="319" t="s">
        <v>71</v>
      </c>
      <c r="D27" s="320">
        <v>1</v>
      </c>
      <c r="E27" s="287">
        <f>6*65*6.5+1000</f>
        <v>3535</v>
      </c>
      <c r="F27" s="263">
        <f>+G27+N27</f>
        <v>3535</v>
      </c>
      <c r="G27" s="263">
        <f t="shared" si="3"/>
        <v>2121</v>
      </c>
      <c r="H27" s="262"/>
      <c r="I27" s="262"/>
      <c r="J27" s="263">
        <f t="shared" si="4"/>
        <v>868</v>
      </c>
      <c r="K27" s="262">
        <f>+'[76]Vốn NTM 2021,2025'!J24</f>
        <v>868</v>
      </c>
      <c r="L27" s="262"/>
      <c r="M27" s="287">
        <f>+E27*0.6-J27</f>
        <v>1253</v>
      </c>
      <c r="N27" s="263">
        <f>+O27+P27+Q27</f>
        <v>1414</v>
      </c>
      <c r="O27" s="287"/>
      <c r="P27" s="287"/>
      <c r="Q27" s="287">
        <f>+E27-G27</f>
        <v>1414</v>
      </c>
      <c r="R27" s="263"/>
      <c r="S27" s="263"/>
      <c r="T27" s="263"/>
      <c r="U27" s="263"/>
      <c r="V27" s="263"/>
      <c r="W27" s="263"/>
      <c r="X27" s="263"/>
      <c r="Y27" s="263"/>
      <c r="Z27" s="288"/>
      <c r="AA27" s="288"/>
      <c r="AB27" s="31"/>
      <c r="AC27" s="252">
        <f t="shared" si="0"/>
        <v>0</v>
      </c>
      <c r="AD27" s="253">
        <f t="shared" si="1"/>
        <v>0</v>
      </c>
    </row>
    <row r="28" spans="1:30" ht="25.5">
      <c r="A28" s="311" t="s">
        <v>81</v>
      </c>
      <c r="B28" s="318" t="s">
        <v>394</v>
      </c>
      <c r="C28" s="319" t="s">
        <v>71</v>
      </c>
      <c r="D28" s="320">
        <v>1</v>
      </c>
      <c r="E28" s="287">
        <f>10*90*6.5+900</f>
        <v>6750</v>
      </c>
      <c r="F28" s="263">
        <f>+G28+N28</f>
        <v>6750</v>
      </c>
      <c r="G28" s="263">
        <f t="shared" si="3"/>
        <v>4050</v>
      </c>
      <c r="H28" s="262"/>
      <c r="I28" s="262"/>
      <c r="J28" s="263">
        <f t="shared" si="4"/>
        <v>2983.9</v>
      </c>
      <c r="K28" s="262"/>
      <c r="L28" s="262">
        <v>2983.9</v>
      </c>
      <c r="M28" s="287">
        <f>+E28*0.6-J28</f>
        <v>1066.0999999999999</v>
      </c>
      <c r="N28" s="263">
        <f>+O28+P28+Q28</f>
        <v>2700</v>
      </c>
      <c r="O28" s="287"/>
      <c r="P28" s="287"/>
      <c r="Q28" s="287">
        <f>+E28-G28</f>
        <v>2700</v>
      </c>
      <c r="R28" s="263"/>
      <c r="S28" s="263"/>
      <c r="T28" s="263"/>
      <c r="U28" s="263"/>
      <c r="V28" s="263"/>
      <c r="W28" s="263"/>
      <c r="X28" s="263"/>
      <c r="Y28" s="263"/>
      <c r="Z28" s="288"/>
      <c r="AA28" s="288"/>
      <c r="AB28" s="31"/>
      <c r="AC28" s="252">
        <f t="shared" si="0"/>
        <v>0</v>
      </c>
      <c r="AD28" s="253">
        <f t="shared" si="1"/>
        <v>0</v>
      </c>
    </row>
    <row r="29" spans="1:30" ht="15.75">
      <c r="A29" s="306">
        <v>3</v>
      </c>
      <c r="B29" s="307" t="s">
        <v>44</v>
      </c>
      <c r="C29" s="306"/>
      <c r="D29" s="308"/>
      <c r="E29" s="309">
        <f>E30</f>
        <v>100</v>
      </c>
      <c r="F29" s="309">
        <f t="shared" ref="F29:Y29" si="11">F30</f>
        <v>100</v>
      </c>
      <c r="G29" s="263">
        <f t="shared" si="3"/>
        <v>100</v>
      </c>
      <c r="H29" s="262">
        <f t="shared" si="11"/>
        <v>100</v>
      </c>
      <c r="I29" s="262">
        <f t="shared" si="11"/>
        <v>0</v>
      </c>
      <c r="J29" s="263">
        <f t="shared" si="4"/>
        <v>0</v>
      </c>
      <c r="K29" s="262">
        <f t="shared" si="11"/>
        <v>0</v>
      </c>
      <c r="L29" s="262">
        <f t="shared" si="11"/>
        <v>0</v>
      </c>
      <c r="M29" s="262">
        <f t="shared" si="11"/>
        <v>0</v>
      </c>
      <c r="N29" s="309">
        <f t="shared" si="11"/>
        <v>0</v>
      </c>
      <c r="O29" s="309">
        <f t="shared" si="11"/>
        <v>0</v>
      </c>
      <c r="P29" s="309">
        <f t="shared" si="11"/>
        <v>0</v>
      </c>
      <c r="Q29" s="309">
        <f t="shared" si="11"/>
        <v>0</v>
      </c>
      <c r="R29" s="309">
        <f t="shared" si="11"/>
        <v>0</v>
      </c>
      <c r="S29" s="309">
        <f t="shared" si="11"/>
        <v>0</v>
      </c>
      <c r="T29" s="309">
        <f t="shared" si="11"/>
        <v>0</v>
      </c>
      <c r="U29" s="309">
        <f t="shared" si="11"/>
        <v>0</v>
      </c>
      <c r="V29" s="309">
        <f t="shared" si="11"/>
        <v>0</v>
      </c>
      <c r="W29" s="309">
        <f t="shared" si="11"/>
        <v>0</v>
      </c>
      <c r="X29" s="309">
        <f t="shared" si="11"/>
        <v>0</v>
      </c>
      <c r="Y29" s="309">
        <f t="shared" si="11"/>
        <v>0</v>
      </c>
      <c r="Z29" s="295"/>
      <c r="AA29" s="286"/>
      <c r="AB29" s="296"/>
      <c r="AC29" s="252">
        <f t="shared" si="0"/>
        <v>0</v>
      </c>
      <c r="AD29" s="253">
        <f t="shared" si="1"/>
        <v>0</v>
      </c>
    </row>
    <row r="30" spans="1:30" ht="15.75">
      <c r="A30" s="311" t="s">
        <v>81</v>
      </c>
      <c r="B30" s="318" t="s">
        <v>395</v>
      </c>
      <c r="C30" s="319" t="s">
        <v>74</v>
      </c>
      <c r="D30" s="320">
        <v>20</v>
      </c>
      <c r="E30" s="279">
        <f>+D30*5</f>
        <v>100</v>
      </c>
      <c r="F30" s="279">
        <f>G30+N30</f>
        <v>100</v>
      </c>
      <c r="G30" s="263">
        <f t="shared" si="3"/>
        <v>100</v>
      </c>
      <c r="H30" s="262">
        <f>+E30</f>
        <v>100</v>
      </c>
      <c r="I30" s="262"/>
      <c r="J30" s="263">
        <f t="shared" si="4"/>
        <v>0</v>
      </c>
      <c r="K30" s="262"/>
      <c r="L30" s="262"/>
      <c r="M30" s="279"/>
      <c r="N30" s="279">
        <f>P30+O30</f>
        <v>0</v>
      </c>
      <c r="O30" s="279"/>
      <c r="P30" s="279"/>
      <c r="Q30" s="279"/>
      <c r="R30" s="279"/>
      <c r="S30" s="279"/>
      <c r="T30" s="279"/>
      <c r="U30" s="279"/>
      <c r="V30" s="279"/>
      <c r="W30" s="279"/>
      <c r="X30" s="279"/>
      <c r="Y30" s="263"/>
      <c r="Z30" s="288"/>
      <c r="AA30" s="288"/>
      <c r="AB30" s="31"/>
      <c r="AC30" s="252">
        <f t="shared" si="0"/>
        <v>0</v>
      </c>
      <c r="AD30" s="253">
        <f t="shared" si="1"/>
        <v>0</v>
      </c>
    </row>
    <row r="31" spans="1:30">
      <c r="A31" s="1" t="s">
        <v>67</v>
      </c>
      <c r="B31" s="326" t="s">
        <v>184</v>
      </c>
      <c r="C31" s="1"/>
      <c r="D31" s="327"/>
      <c r="E31" s="250">
        <f>+E32+E33+E37</f>
        <v>6449.55</v>
      </c>
      <c r="F31" s="250">
        <f t="shared" ref="F31:Y31" si="12">+F32+F33+F37</f>
        <v>4379.82</v>
      </c>
      <c r="G31" s="259">
        <f t="shared" si="12"/>
        <v>1800</v>
      </c>
      <c r="H31" s="259">
        <f t="shared" si="12"/>
        <v>0</v>
      </c>
      <c r="I31" s="259">
        <f t="shared" si="12"/>
        <v>0</v>
      </c>
      <c r="J31" s="259">
        <f t="shared" ref="J31:J40" si="13">+K31+L31</f>
        <v>0</v>
      </c>
      <c r="K31" s="259">
        <f t="shared" si="12"/>
        <v>0</v>
      </c>
      <c r="L31" s="259">
        <f t="shared" si="12"/>
        <v>0</v>
      </c>
      <c r="M31" s="259">
        <f t="shared" si="12"/>
        <v>1800</v>
      </c>
      <c r="N31" s="250">
        <f t="shared" si="12"/>
        <v>2579.8200000000002</v>
      </c>
      <c r="O31" s="250">
        <f t="shared" si="12"/>
        <v>1379.8200000000002</v>
      </c>
      <c r="P31" s="250">
        <f t="shared" si="12"/>
        <v>0</v>
      </c>
      <c r="Q31" s="250">
        <f t="shared" si="12"/>
        <v>1200</v>
      </c>
      <c r="R31" s="250">
        <f t="shared" si="12"/>
        <v>0</v>
      </c>
      <c r="S31" s="250">
        <f t="shared" si="12"/>
        <v>0</v>
      </c>
      <c r="T31" s="250">
        <f t="shared" si="12"/>
        <v>0</v>
      </c>
      <c r="U31" s="250">
        <f t="shared" si="12"/>
        <v>0</v>
      </c>
      <c r="V31" s="250">
        <f t="shared" si="12"/>
        <v>0</v>
      </c>
      <c r="W31" s="250">
        <f t="shared" si="12"/>
        <v>0</v>
      </c>
      <c r="X31" s="250">
        <f t="shared" si="12"/>
        <v>0</v>
      </c>
      <c r="Y31" s="250">
        <f t="shared" si="12"/>
        <v>2069.73</v>
      </c>
      <c r="Z31" s="328"/>
      <c r="AA31" s="328"/>
      <c r="AB31" s="18"/>
      <c r="AC31" s="93">
        <f t="shared" ref="AC31:AC40" si="14">+E31-G31-N31-R31-S31-X31-Y31</f>
        <v>0</v>
      </c>
      <c r="AD31" s="93">
        <f t="shared" ref="AD31:AD40" si="15">+E31-F31-R31-S31-X31-Y31</f>
        <v>0</v>
      </c>
    </row>
    <row r="32" spans="1:30" ht="15.75">
      <c r="A32" s="261">
        <v>1</v>
      </c>
      <c r="B32" s="255" t="s">
        <v>369</v>
      </c>
      <c r="C32" s="254" t="s">
        <v>71</v>
      </c>
      <c r="D32" s="254"/>
      <c r="E32" s="262"/>
      <c r="F32" s="262">
        <f>+G32+N32</f>
        <v>0</v>
      </c>
      <c r="G32" s="263">
        <f t="shared" ref="G32:G40" si="16">+H32+I32+J32+M32</f>
        <v>0</v>
      </c>
      <c r="H32" s="262"/>
      <c r="I32" s="262"/>
      <c r="J32" s="263">
        <f t="shared" si="13"/>
        <v>0</v>
      </c>
      <c r="K32" s="262"/>
      <c r="L32" s="262"/>
      <c r="M32" s="262"/>
      <c r="N32" s="262">
        <f>+O32+P32+Q32</f>
        <v>0</v>
      </c>
      <c r="O32" s="262"/>
      <c r="P32" s="262"/>
      <c r="Q32" s="262"/>
      <c r="R32" s="264"/>
      <c r="S32" s="265"/>
      <c r="T32" s="266"/>
      <c r="U32" s="266"/>
      <c r="V32" s="266"/>
      <c r="W32" s="266"/>
      <c r="X32" s="266"/>
      <c r="Y32" s="266"/>
      <c r="Z32" s="267"/>
      <c r="AA32" s="268"/>
      <c r="AB32" s="269"/>
      <c r="AC32" s="252">
        <f t="shared" si="14"/>
        <v>0</v>
      </c>
      <c r="AD32" s="253">
        <f t="shared" si="15"/>
        <v>0</v>
      </c>
    </row>
    <row r="33" spans="1:30" ht="15.75">
      <c r="A33" s="254">
        <v>1</v>
      </c>
      <c r="B33" s="315" t="s">
        <v>29</v>
      </c>
      <c r="C33" s="254"/>
      <c r="D33" s="329"/>
      <c r="E33" s="266">
        <f>E34+E35+E36</f>
        <v>3449.55</v>
      </c>
      <c r="F33" s="266">
        <f t="shared" ref="F33:Y33" si="17">F34+F35+F36</f>
        <v>1379.8200000000002</v>
      </c>
      <c r="G33" s="263">
        <f t="shared" si="16"/>
        <v>0</v>
      </c>
      <c r="H33" s="262">
        <f t="shared" si="17"/>
        <v>0</v>
      </c>
      <c r="I33" s="262">
        <f t="shared" si="17"/>
        <v>0</v>
      </c>
      <c r="J33" s="263">
        <f t="shared" si="13"/>
        <v>0</v>
      </c>
      <c r="K33" s="262">
        <f t="shared" si="17"/>
        <v>0</v>
      </c>
      <c r="L33" s="262">
        <f t="shared" si="17"/>
        <v>0</v>
      </c>
      <c r="M33" s="262">
        <f t="shared" si="17"/>
        <v>0</v>
      </c>
      <c r="N33" s="266">
        <f t="shared" si="17"/>
        <v>1379.8200000000002</v>
      </c>
      <c r="O33" s="266">
        <f t="shared" si="17"/>
        <v>1379.8200000000002</v>
      </c>
      <c r="P33" s="266">
        <f t="shared" si="17"/>
        <v>0</v>
      </c>
      <c r="Q33" s="266">
        <f t="shared" si="17"/>
        <v>0</v>
      </c>
      <c r="R33" s="266">
        <f t="shared" si="17"/>
        <v>0</v>
      </c>
      <c r="S33" s="266">
        <f t="shared" si="17"/>
        <v>0</v>
      </c>
      <c r="T33" s="266">
        <f t="shared" si="17"/>
        <v>0</v>
      </c>
      <c r="U33" s="266">
        <f t="shared" si="17"/>
        <v>0</v>
      </c>
      <c r="V33" s="266">
        <f t="shared" si="17"/>
        <v>0</v>
      </c>
      <c r="W33" s="266">
        <f t="shared" si="17"/>
        <v>0</v>
      </c>
      <c r="X33" s="266">
        <f t="shared" si="17"/>
        <v>0</v>
      </c>
      <c r="Y33" s="266">
        <f t="shared" si="17"/>
        <v>2069.73</v>
      </c>
      <c r="Z33" s="330">
        <f>Z34</f>
        <v>0</v>
      </c>
      <c r="AA33" s="331">
        <f>AA34</f>
        <v>0</v>
      </c>
      <c r="AB33" s="331">
        <f>AB34</f>
        <v>0</v>
      </c>
      <c r="AC33" s="252">
        <f t="shared" si="14"/>
        <v>0</v>
      </c>
      <c r="AD33" s="253">
        <f t="shared" si="15"/>
        <v>0</v>
      </c>
    </row>
    <row r="34" spans="1:30" ht="15.75" hidden="1">
      <c r="A34" s="270" t="s">
        <v>81</v>
      </c>
      <c r="B34" s="321" t="s">
        <v>372</v>
      </c>
      <c r="C34" s="2" t="s">
        <v>69</v>
      </c>
      <c r="D34" s="332">
        <v>1.9</v>
      </c>
      <c r="E34" s="263">
        <f>+D34*800</f>
        <v>1520</v>
      </c>
      <c r="F34" s="263">
        <f>+G34+N34</f>
        <v>608</v>
      </c>
      <c r="G34" s="263">
        <f t="shared" si="16"/>
        <v>0</v>
      </c>
      <c r="H34" s="262"/>
      <c r="I34" s="262"/>
      <c r="J34" s="263">
        <f t="shared" si="13"/>
        <v>0</v>
      </c>
      <c r="K34" s="262"/>
      <c r="L34" s="262"/>
      <c r="M34" s="263"/>
      <c r="N34" s="263">
        <f>+O34+P34+Q34</f>
        <v>608</v>
      </c>
      <c r="O34" s="263">
        <f>+E34*0.4</f>
        <v>608</v>
      </c>
      <c r="P34" s="263"/>
      <c r="Q34" s="263"/>
      <c r="R34" s="263"/>
      <c r="S34" s="263"/>
      <c r="T34" s="263"/>
      <c r="U34" s="263"/>
      <c r="V34" s="263"/>
      <c r="W34" s="263"/>
      <c r="X34" s="263"/>
      <c r="Y34" s="263">
        <f>+E34-O34</f>
        <v>912</v>
      </c>
      <c r="Z34" s="290"/>
      <c r="AA34" s="291"/>
      <c r="AB34" s="292"/>
      <c r="AC34" s="252">
        <f t="shared" si="14"/>
        <v>0</v>
      </c>
      <c r="AD34" s="253">
        <f t="shared" si="15"/>
        <v>0</v>
      </c>
    </row>
    <row r="35" spans="1:30" ht="15.75">
      <c r="A35" s="311" t="s">
        <v>81</v>
      </c>
      <c r="B35" s="312" t="s">
        <v>181</v>
      </c>
      <c r="C35" s="313" t="s">
        <v>69</v>
      </c>
      <c r="D35" s="314">
        <v>2.23</v>
      </c>
      <c r="E35" s="263">
        <f>+D35*635</f>
        <v>1416.05</v>
      </c>
      <c r="F35" s="263">
        <f>+G35+N35</f>
        <v>566.41999999999996</v>
      </c>
      <c r="G35" s="263">
        <f t="shared" si="16"/>
        <v>0</v>
      </c>
      <c r="H35" s="262"/>
      <c r="I35" s="262"/>
      <c r="J35" s="263">
        <f t="shared" si="13"/>
        <v>0</v>
      </c>
      <c r="K35" s="262"/>
      <c r="L35" s="262"/>
      <c r="M35" s="263"/>
      <c r="N35" s="263">
        <f>+O35+P35+Q35</f>
        <v>566.41999999999996</v>
      </c>
      <c r="O35" s="263">
        <f>+E35*0.4</f>
        <v>566.41999999999996</v>
      </c>
      <c r="P35" s="263"/>
      <c r="Q35" s="263"/>
      <c r="R35" s="263"/>
      <c r="S35" s="263"/>
      <c r="T35" s="263"/>
      <c r="U35" s="263"/>
      <c r="V35" s="263"/>
      <c r="W35" s="263"/>
      <c r="X35" s="263"/>
      <c r="Y35" s="263">
        <f>+E35-O35</f>
        <v>849.63</v>
      </c>
      <c r="Z35" s="290"/>
      <c r="AA35" s="291"/>
      <c r="AB35" s="292"/>
      <c r="AC35" s="252">
        <f t="shared" si="14"/>
        <v>0</v>
      </c>
      <c r="AD35" s="253">
        <f t="shared" si="15"/>
        <v>0</v>
      </c>
    </row>
    <row r="36" spans="1:30" ht="15.75" hidden="1">
      <c r="A36" s="311" t="s">
        <v>81</v>
      </c>
      <c r="B36" s="312" t="s">
        <v>182</v>
      </c>
      <c r="C36" s="313" t="s">
        <v>69</v>
      </c>
      <c r="D36" s="314">
        <v>0.79</v>
      </c>
      <c r="E36" s="263">
        <f>+D36*650</f>
        <v>513.5</v>
      </c>
      <c r="F36" s="263">
        <f>+G36+N36</f>
        <v>205.4</v>
      </c>
      <c r="G36" s="263">
        <f t="shared" si="16"/>
        <v>0</v>
      </c>
      <c r="H36" s="262"/>
      <c r="I36" s="262"/>
      <c r="J36" s="263">
        <f t="shared" si="13"/>
        <v>0</v>
      </c>
      <c r="K36" s="262"/>
      <c r="L36" s="262"/>
      <c r="M36" s="263"/>
      <c r="N36" s="263">
        <f>+O36+P36+Q36</f>
        <v>205.4</v>
      </c>
      <c r="O36" s="263">
        <f>+E36*0.4</f>
        <v>205.4</v>
      </c>
      <c r="P36" s="263"/>
      <c r="Q36" s="263"/>
      <c r="R36" s="263"/>
      <c r="S36" s="263"/>
      <c r="T36" s="263"/>
      <c r="U36" s="263"/>
      <c r="V36" s="263"/>
      <c r="W36" s="263"/>
      <c r="X36" s="263"/>
      <c r="Y36" s="263">
        <f>+E36-O36</f>
        <v>308.10000000000002</v>
      </c>
      <c r="Z36" s="290"/>
      <c r="AA36" s="291"/>
      <c r="AB36" s="292"/>
      <c r="AC36" s="252">
        <f t="shared" si="14"/>
        <v>0</v>
      </c>
      <c r="AD36" s="253">
        <f t="shared" si="15"/>
        <v>0</v>
      </c>
    </row>
    <row r="37" spans="1:30" ht="15.75">
      <c r="A37" s="254">
        <v>2</v>
      </c>
      <c r="B37" s="315" t="s">
        <v>397</v>
      </c>
      <c r="C37" s="254"/>
      <c r="D37" s="316"/>
      <c r="E37" s="266">
        <f>SUM(E38:E40)</f>
        <v>3000</v>
      </c>
      <c r="F37" s="266">
        <f t="shared" ref="F37:AB37" si="18">SUM(F38:F40)</f>
        <v>3000</v>
      </c>
      <c r="G37" s="263">
        <f t="shared" si="16"/>
        <v>1800</v>
      </c>
      <c r="H37" s="262">
        <f t="shared" si="18"/>
        <v>0</v>
      </c>
      <c r="I37" s="262">
        <f t="shared" si="18"/>
        <v>0</v>
      </c>
      <c r="J37" s="263">
        <f t="shared" si="13"/>
        <v>0</v>
      </c>
      <c r="K37" s="262">
        <f t="shared" si="18"/>
        <v>0</v>
      </c>
      <c r="L37" s="262">
        <f t="shared" si="18"/>
        <v>0</v>
      </c>
      <c r="M37" s="262">
        <f t="shared" si="18"/>
        <v>1800</v>
      </c>
      <c r="N37" s="266">
        <f t="shared" si="18"/>
        <v>1200</v>
      </c>
      <c r="O37" s="266">
        <f t="shared" si="18"/>
        <v>0</v>
      </c>
      <c r="P37" s="266">
        <f t="shared" si="18"/>
        <v>0</v>
      </c>
      <c r="Q37" s="266">
        <f t="shared" si="18"/>
        <v>1200</v>
      </c>
      <c r="R37" s="266">
        <f t="shared" si="18"/>
        <v>0</v>
      </c>
      <c r="S37" s="266">
        <f t="shared" si="18"/>
        <v>0</v>
      </c>
      <c r="T37" s="266">
        <f t="shared" si="18"/>
        <v>0</v>
      </c>
      <c r="U37" s="266">
        <f t="shared" si="18"/>
        <v>0</v>
      </c>
      <c r="V37" s="266">
        <f t="shared" si="18"/>
        <v>0</v>
      </c>
      <c r="W37" s="266">
        <f t="shared" si="18"/>
        <v>0</v>
      </c>
      <c r="X37" s="266">
        <f t="shared" si="18"/>
        <v>0</v>
      </c>
      <c r="Y37" s="266">
        <f t="shared" si="18"/>
        <v>0</v>
      </c>
      <c r="Z37" s="330">
        <f t="shared" si="18"/>
        <v>0</v>
      </c>
      <c r="AA37" s="331">
        <f t="shared" si="18"/>
        <v>0</v>
      </c>
      <c r="AB37" s="331">
        <f t="shared" si="18"/>
        <v>0</v>
      </c>
      <c r="AC37" s="252">
        <f t="shared" si="14"/>
        <v>0</v>
      </c>
      <c r="AD37" s="253">
        <f t="shared" si="15"/>
        <v>0</v>
      </c>
    </row>
    <row r="38" spans="1:30" ht="25.5">
      <c r="A38" s="270" t="s">
        <v>81</v>
      </c>
      <c r="B38" s="321" t="s">
        <v>398</v>
      </c>
      <c r="C38" s="2" t="s">
        <v>71</v>
      </c>
      <c r="D38" s="322">
        <v>1</v>
      </c>
      <c r="E38" s="279">
        <v>1000</v>
      </c>
      <c r="F38" s="263">
        <f>+G38+N38</f>
        <v>1000</v>
      </c>
      <c r="G38" s="263">
        <f t="shared" si="16"/>
        <v>600</v>
      </c>
      <c r="H38" s="262"/>
      <c r="I38" s="262"/>
      <c r="J38" s="263">
        <f t="shared" si="13"/>
        <v>0</v>
      </c>
      <c r="K38" s="262"/>
      <c r="L38" s="262"/>
      <c r="M38" s="287">
        <f>+E38*0.6-J38</f>
        <v>600</v>
      </c>
      <c r="N38" s="263">
        <f>+O38+P38+Q38</f>
        <v>400</v>
      </c>
      <c r="O38" s="287"/>
      <c r="P38" s="287"/>
      <c r="Q38" s="287">
        <f>+E38-G38</f>
        <v>400</v>
      </c>
      <c r="R38" s="263"/>
      <c r="S38" s="263"/>
      <c r="T38" s="263"/>
      <c r="U38" s="263"/>
      <c r="V38" s="263"/>
      <c r="W38" s="263"/>
      <c r="X38" s="263"/>
      <c r="Y38" s="263"/>
      <c r="Z38" s="288"/>
      <c r="AA38" s="288"/>
      <c r="AB38" s="31"/>
      <c r="AC38" s="252">
        <f t="shared" si="14"/>
        <v>0</v>
      </c>
      <c r="AD38" s="253">
        <f t="shared" si="15"/>
        <v>0</v>
      </c>
    </row>
    <row r="39" spans="1:30" ht="25.5">
      <c r="A39" s="270" t="s">
        <v>81</v>
      </c>
      <c r="B39" s="321" t="s">
        <v>399</v>
      </c>
      <c r="C39" s="2" t="s">
        <v>71</v>
      </c>
      <c r="D39" s="322">
        <v>1</v>
      </c>
      <c r="E39" s="279">
        <v>1000</v>
      </c>
      <c r="F39" s="263">
        <f>+G39+N39</f>
        <v>1000</v>
      </c>
      <c r="G39" s="263">
        <f t="shared" si="16"/>
        <v>600</v>
      </c>
      <c r="H39" s="262"/>
      <c r="I39" s="262"/>
      <c r="J39" s="263">
        <f t="shared" si="13"/>
        <v>0</v>
      </c>
      <c r="K39" s="262"/>
      <c r="L39" s="262"/>
      <c r="M39" s="287">
        <f>+E39*0.6-J39</f>
        <v>600</v>
      </c>
      <c r="N39" s="263">
        <f>+O39+P39+Q39</f>
        <v>400</v>
      </c>
      <c r="O39" s="287"/>
      <c r="P39" s="287"/>
      <c r="Q39" s="287">
        <f>+E39-G39</f>
        <v>400</v>
      </c>
      <c r="R39" s="263"/>
      <c r="S39" s="263"/>
      <c r="T39" s="263"/>
      <c r="U39" s="263"/>
      <c r="V39" s="263"/>
      <c r="W39" s="263"/>
      <c r="X39" s="263"/>
      <c r="Y39" s="263"/>
      <c r="Z39" s="288"/>
      <c r="AA39" s="288"/>
      <c r="AB39" s="31"/>
      <c r="AC39" s="252">
        <f t="shared" si="14"/>
        <v>0</v>
      </c>
      <c r="AD39" s="253">
        <f t="shared" si="15"/>
        <v>0</v>
      </c>
    </row>
    <row r="40" spans="1:30" ht="15.75">
      <c r="A40" s="270" t="s">
        <v>81</v>
      </c>
      <c r="B40" s="321" t="s">
        <v>400</v>
      </c>
      <c r="C40" s="2" t="s">
        <v>71</v>
      </c>
      <c r="D40" s="322">
        <v>1</v>
      </c>
      <c r="E40" s="279">
        <v>1000</v>
      </c>
      <c r="F40" s="263">
        <f>+G40+N40</f>
        <v>1000</v>
      </c>
      <c r="G40" s="263">
        <f t="shared" si="16"/>
        <v>600</v>
      </c>
      <c r="H40" s="262"/>
      <c r="I40" s="262"/>
      <c r="J40" s="263">
        <f t="shared" si="13"/>
        <v>0</v>
      </c>
      <c r="K40" s="262"/>
      <c r="L40" s="262"/>
      <c r="M40" s="287">
        <f>+E40*0.6-J40</f>
        <v>600</v>
      </c>
      <c r="N40" s="263">
        <f>+O40+P40+Q40</f>
        <v>400</v>
      </c>
      <c r="O40" s="287"/>
      <c r="P40" s="287"/>
      <c r="Q40" s="287">
        <f>+E40-G40</f>
        <v>400</v>
      </c>
      <c r="R40" s="263"/>
      <c r="S40" s="263"/>
      <c r="T40" s="263"/>
      <c r="U40" s="263"/>
      <c r="V40" s="263"/>
      <c r="W40" s="263"/>
      <c r="X40" s="263"/>
      <c r="Y40" s="263"/>
      <c r="Z40" s="288"/>
      <c r="AA40" s="288"/>
      <c r="AB40" s="31"/>
      <c r="AC40" s="252">
        <f t="shared" si="14"/>
        <v>0</v>
      </c>
      <c r="AD40" s="253">
        <f t="shared" si="15"/>
        <v>0</v>
      </c>
    </row>
  </sheetData>
  <mergeCells count="30">
    <mergeCell ref="A1:Y1"/>
    <mergeCell ref="A2:Y2"/>
    <mergeCell ref="R3:Y3"/>
    <mergeCell ref="A4:A8"/>
    <mergeCell ref="B4:B8"/>
    <mergeCell ref="C4:C8"/>
    <mergeCell ref="D4:D8"/>
    <mergeCell ref="E4:E8"/>
    <mergeCell ref="F4:Y4"/>
    <mergeCell ref="F5:F8"/>
    <mergeCell ref="X5:X8"/>
    <mergeCell ref="Y5:Y8"/>
    <mergeCell ref="G6:G8"/>
    <mergeCell ref="H6:M6"/>
    <mergeCell ref="N6:N8"/>
    <mergeCell ref="O6:Q6"/>
    <mergeCell ref="T6:T8"/>
    <mergeCell ref="U6:U8"/>
    <mergeCell ref="V6:V8"/>
    <mergeCell ref="W6:W8"/>
    <mergeCell ref="H7:H8"/>
    <mergeCell ref="I7:I8"/>
    <mergeCell ref="J7:J8"/>
    <mergeCell ref="K7:L7"/>
    <mergeCell ref="M7:M8"/>
    <mergeCell ref="O7:O8"/>
    <mergeCell ref="P7:P8"/>
    <mergeCell ref="Q7:Q8"/>
    <mergeCell ref="R5:R8"/>
    <mergeCell ref="S5:S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FF00"/>
  </sheetPr>
  <dimension ref="A1:T14"/>
  <sheetViews>
    <sheetView zoomScaleNormal="100" workbookViewId="0">
      <pane xSplit="2" ySplit="7" topLeftCell="C8" activePane="bottomRight" state="frozen"/>
      <selection activeCell="E25" sqref="E25"/>
      <selection pane="topRight" activeCell="E25" sqref="E25"/>
      <selection pane="bottomLeft" activeCell="E25" sqref="E25"/>
      <selection pane="bottomRight" activeCell="E25" sqref="E25"/>
    </sheetView>
  </sheetViews>
  <sheetFormatPr defaultColWidth="9" defaultRowHeight="15"/>
  <cols>
    <col min="1" max="1" width="3.5" style="1109" customWidth="1"/>
    <col min="2" max="2" width="22.375" style="1110" customWidth="1"/>
    <col min="3" max="3" width="6.25" style="1109" customWidth="1"/>
    <col min="4" max="4" width="6.5" style="1109" customWidth="1"/>
    <col min="5" max="5" width="8.5" style="11" customWidth="1"/>
    <col min="6" max="6" width="5.375" style="12" customWidth="1"/>
    <col min="7" max="7" width="6.75" style="12" customWidth="1"/>
    <col min="8" max="8" width="5.375" style="103" customWidth="1"/>
    <col min="9" max="9" width="7.625" style="103" customWidth="1"/>
    <col min="10" max="10" width="5.375" style="12" customWidth="1"/>
    <col min="11" max="11" width="7.375" style="12" customWidth="1"/>
    <col min="12" max="12" width="5.5" style="12" customWidth="1"/>
    <col min="13" max="13" width="7.5" style="12" customWidth="1"/>
    <col min="14" max="14" width="5.375" style="101" customWidth="1"/>
    <col min="15" max="15" width="7.375" style="101" customWidth="1"/>
    <col min="16" max="16" width="5.375" style="101" customWidth="1"/>
    <col min="17" max="17" width="7.375" style="101" customWidth="1"/>
    <col min="18" max="18" width="5.375" style="12" customWidth="1"/>
    <col min="19" max="19" width="6.625" style="12" customWidth="1"/>
    <col min="20" max="20" width="16.875" style="1110" customWidth="1"/>
    <col min="21" max="16384" width="9" style="1110"/>
  </cols>
  <sheetData>
    <row r="1" spans="1:20" s="1089" customFormat="1" ht="15.75">
      <c r="A1" s="1607" t="s">
        <v>155</v>
      </c>
      <c r="B1" s="1607"/>
      <c r="C1" s="1088"/>
      <c r="D1" s="1088"/>
      <c r="E1" s="7"/>
      <c r="F1" s="8"/>
      <c r="G1" s="8"/>
      <c r="H1" s="8"/>
      <c r="I1" s="8"/>
      <c r="J1" s="8"/>
      <c r="K1" s="8"/>
      <c r="L1" s="8"/>
      <c r="M1" s="8"/>
      <c r="N1" s="8"/>
      <c r="O1" s="8"/>
      <c r="P1" s="8"/>
      <c r="Q1" s="8"/>
      <c r="R1" s="8"/>
      <c r="S1" s="8"/>
    </row>
    <row r="2" spans="1:20" s="1089" customFormat="1" ht="38.25" customHeight="1">
      <c r="A2" s="1608" t="s">
        <v>204</v>
      </c>
      <c r="B2" s="1608"/>
      <c r="C2" s="1608"/>
      <c r="D2" s="1608"/>
      <c r="E2" s="1608"/>
      <c r="F2" s="1608"/>
      <c r="G2" s="1608"/>
      <c r="H2" s="1608"/>
      <c r="I2" s="1608"/>
      <c r="J2" s="1608"/>
      <c r="K2" s="1608"/>
      <c r="L2" s="1608"/>
      <c r="M2" s="1608"/>
      <c r="N2" s="1608"/>
      <c r="O2" s="1608"/>
      <c r="P2" s="1608"/>
      <c r="Q2" s="1608"/>
      <c r="R2" s="1608"/>
      <c r="S2" s="1608"/>
      <c r="T2" s="1608"/>
    </row>
    <row r="3" spans="1:20" s="1089" customFormat="1" ht="18" customHeight="1">
      <c r="A3" s="1609" t="s">
        <v>154</v>
      </c>
      <c r="B3" s="1609"/>
      <c r="C3" s="1609"/>
      <c r="D3" s="1609"/>
      <c r="E3" s="1609"/>
      <c r="F3" s="1609"/>
      <c r="G3" s="1609"/>
      <c r="H3" s="1609"/>
      <c r="I3" s="1609"/>
      <c r="J3" s="1609"/>
      <c r="K3" s="1609"/>
      <c r="L3" s="1609"/>
      <c r="M3" s="1609"/>
      <c r="N3" s="1609"/>
      <c r="O3" s="1609"/>
      <c r="P3" s="1609"/>
      <c r="Q3" s="1609"/>
      <c r="R3" s="1609"/>
      <c r="S3" s="1609"/>
      <c r="T3" s="1609"/>
    </row>
    <row r="4" spans="1:20" s="1089" customFormat="1" ht="21.75" customHeight="1">
      <c r="A4" s="1090"/>
      <c r="B4" s="1090"/>
      <c r="C4" s="1090"/>
      <c r="D4" s="1090"/>
      <c r="E4" s="1090"/>
      <c r="F4" s="1090"/>
      <c r="G4" s="1091"/>
      <c r="H4" s="1090"/>
      <c r="I4" s="1090"/>
      <c r="J4" s="1090"/>
      <c r="K4" s="1090"/>
      <c r="L4" s="1090"/>
      <c r="M4" s="1090"/>
      <c r="N4" s="1090"/>
      <c r="O4" s="1090"/>
      <c r="P4" s="1090"/>
      <c r="Q4" s="1610" t="s">
        <v>90</v>
      </c>
      <c r="R4" s="1610"/>
      <c r="S4" s="1610"/>
      <c r="T4" s="1610"/>
    </row>
    <row r="5" spans="1:20" s="1092" customFormat="1" ht="27" customHeight="1">
      <c r="A5" s="1605" t="s">
        <v>61</v>
      </c>
      <c r="B5" s="1605" t="s">
        <v>146</v>
      </c>
      <c r="C5" s="1605" t="s">
        <v>63</v>
      </c>
      <c r="D5" s="1611" t="s">
        <v>147</v>
      </c>
      <c r="E5" s="1605" t="s">
        <v>119</v>
      </c>
      <c r="F5" s="1606" t="s">
        <v>19</v>
      </c>
      <c r="G5" s="1612"/>
      <c r="H5" s="1612"/>
      <c r="I5" s="1612"/>
      <c r="J5" s="1612"/>
      <c r="K5" s="1612"/>
      <c r="L5" s="1612"/>
      <c r="M5" s="1612"/>
      <c r="N5" s="1612"/>
      <c r="O5" s="1612"/>
      <c r="P5" s="1612"/>
      <c r="Q5" s="1612"/>
      <c r="R5" s="1612"/>
      <c r="S5" s="1612"/>
      <c r="T5" s="1613" t="s">
        <v>131</v>
      </c>
    </row>
    <row r="6" spans="1:20" s="1092" customFormat="1" ht="27" customHeight="1">
      <c r="A6" s="1605"/>
      <c r="B6" s="1605"/>
      <c r="C6" s="1605"/>
      <c r="D6" s="1611"/>
      <c r="E6" s="1605"/>
      <c r="F6" s="1605" t="s">
        <v>102</v>
      </c>
      <c r="G6" s="1605"/>
      <c r="H6" s="1605" t="s">
        <v>145</v>
      </c>
      <c r="I6" s="1605"/>
      <c r="J6" s="1605" t="s">
        <v>98</v>
      </c>
      <c r="K6" s="1605"/>
      <c r="L6" s="1605" t="s">
        <v>99</v>
      </c>
      <c r="M6" s="1605"/>
      <c r="N6" s="1605" t="s">
        <v>100</v>
      </c>
      <c r="O6" s="1605"/>
      <c r="P6" s="1605" t="s">
        <v>101</v>
      </c>
      <c r="Q6" s="1605"/>
      <c r="R6" s="1605" t="s">
        <v>144</v>
      </c>
      <c r="S6" s="1606"/>
      <c r="T6" s="1614"/>
    </row>
    <row r="7" spans="1:20" s="1092" customFormat="1" ht="28.5" customHeight="1">
      <c r="A7" s="1605"/>
      <c r="B7" s="1605"/>
      <c r="C7" s="1605"/>
      <c r="D7" s="1611"/>
      <c r="E7" s="1605"/>
      <c r="F7" s="1094" t="s">
        <v>147</v>
      </c>
      <c r="G7" s="1094" t="s">
        <v>120</v>
      </c>
      <c r="H7" s="1094" t="s">
        <v>147</v>
      </c>
      <c r="I7" s="1094" t="s">
        <v>120</v>
      </c>
      <c r="J7" s="1094" t="s">
        <v>147</v>
      </c>
      <c r="K7" s="1094" t="s">
        <v>120</v>
      </c>
      <c r="L7" s="1094" t="s">
        <v>147</v>
      </c>
      <c r="M7" s="1094" t="s">
        <v>120</v>
      </c>
      <c r="N7" s="1094" t="s">
        <v>147</v>
      </c>
      <c r="O7" s="1094" t="s">
        <v>120</v>
      </c>
      <c r="P7" s="1094" t="s">
        <v>147</v>
      </c>
      <c r="Q7" s="1094" t="s">
        <v>120</v>
      </c>
      <c r="R7" s="1094" t="s">
        <v>147</v>
      </c>
      <c r="S7" s="1095" t="s">
        <v>120</v>
      </c>
      <c r="T7" s="1615"/>
    </row>
    <row r="8" spans="1:20" s="1092" customFormat="1" ht="28.5" hidden="1" customHeight="1">
      <c r="A8" s="1096"/>
      <c r="B8" s="1096"/>
      <c r="C8" s="1096"/>
      <c r="D8" s="1097"/>
      <c r="E8" s="1098"/>
      <c r="F8" s="1099"/>
      <c r="G8" s="1099"/>
      <c r="H8" s="1099"/>
      <c r="I8" s="1099"/>
      <c r="J8" s="1099"/>
      <c r="K8" s="1099"/>
      <c r="L8" s="1099"/>
      <c r="M8" s="1099"/>
      <c r="N8" s="1099"/>
      <c r="O8" s="1099"/>
      <c r="P8" s="1099"/>
      <c r="Q8" s="1099"/>
      <c r="R8" s="1099"/>
      <c r="S8" s="1100"/>
      <c r="T8" s="1093"/>
    </row>
    <row r="9" spans="1:20" s="1105" customFormat="1" ht="21.75" customHeight="1">
      <c r="A9" s="1101" t="s">
        <v>80</v>
      </c>
      <c r="B9" s="1102" t="s">
        <v>3</v>
      </c>
      <c r="C9" s="1101" t="s">
        <v>65</v>
      </c>
      <c r="D9" s="1103"/>
      <c r="E9" s="1104"/>
      <c r="F9" s="44"/>
      <c r="G9" s="44"/>
      <c r="H9" s="44"/>
      <c r="I9" s="44"/>
      <c r="J9" s="44"/>
      <c r="K9" s="44"/>
      <c r="L9" s="44"/>
      <c r="M9" s="44"/>
      <c r="N9" s="44"/>
      <c r="O9" s="44"/>
      <c r="P9" s="44"/>
      <c r="Q9" s="44"/>
      <c r="R9" s="44"/>
      <c r="S9" s="44"/>
      <c r="T9" s="40"/>
    </row>
    <row r="10" spans="1:20" s="1108" customFormat="1" ht="72" customHeight="1">
      <c r="A10" s="1106">
        <v>1</v>
      </c>
      <c r="B10" s="1107" t="s">
        <v>1030</v>
      </c>
      <c r="C10" s="1106" t="s">
        <v>71</v>
      </c>
      <c r="D10" s="1103">
        <f>+F10+H10+J10+L10+N10+P10+R10</f>
        <v>0</v>
      </c>
      <c r="E10" s="1103">
        <v>1200000</v>
      </c>
      <c r="F10" s="40"/>
      <c r="G10" s="40">
        <f>+G14*$E$10/100</f>
        <v>89429.207748339453</v>
      </c>
      <c r="H10" s="40"/>
      <c r="I10" s="40">
        <f>+I14*$E$10/100</f>
        <v>95676.100936642571</v>
      </c>
      <c r="J10" s="40"/>
      <c r="K10" s="40">
        <f>+K14*$E$10/100</f>
        <v>212065.58455029025</v>
      </c>
      <c r="L10" s="40"/>
      <c r="M10" s="40">
        <f>+M14*$E$10/100</f>
        <v>169192.17024740984</v>
      </c>
      <c r="N10" s="40"/>
      <c r="O10" s="40">
        <f>+O14*$E$10/100</f>
        <v>264083.88685138582</v>
      </c>
      <c r="P10" s="40"/>
      <c r="Q10" s="40">
        <f>+Q14*$E$10/100</f>
        <v>302481.14385467756</v>
      </c>
      <c r="R10" s="40"/>
      <c r="S10" s="40">
        <f>+S14*$E$10/100</f>
        <v>67071.90581125459</v>
      </c>
      <c r="T10" s="94"/>
    </row>
    <row r="14" spans="1:20">
      <c r="G14" s="12">
        <v>7.4524339790282879</v>
      </c>
      <c r="I14" s="12">
        <v>7.9730084113868811</v>
      </c>
      <c r="K14" s="12">
        <v>17.67213204585752</v>
      </c>
      <c r="M14" s="12">
        <v>14.099347520617487</v>
      </c>
      <c r="O14" s="12">
        <v>22.006990570948815</v>
      </c>
      <c r="Q14" s="12">
        <v>25.206761987889799</v>
      </c>
      <c r="S14" s="12">
        <v>5.5893254842712157</v>
      </c>
    </row>
  </sheetData>
  <mergeCells count="18">
    <mergeCell ref="R6:S6"/>
    <mergeCell ref="A1:B1"/>
    <mergeCell ref="A2:T2"/>
    <mergeCell ref="A3:T3"/>
    <mergeCell ref="Q4:T4"/>
    <mergeCell ref="A5:A7"/>
    <mergeCell ref="B5:B7"/>
    <mergeCell ref="C5:C7"/>
    <mergeCell ref="D5:D7"/>
    <mergeCell ref="E5:E7"/>
    <mergeCell ref="F5:S5"/>
    <mergeCell ref="T5:T7"/>
    <mergeCell ref="F6:G6"/>
    <mergeCell ref="H6:I6"/>
    <mergeCell ref="J6:K6"/>
    <mergeCell ref="L6:M6"/>
    <mergeCell ref="N6:O6"/>
    <mergeCell ref="P6:Q6"/>
  </mergeCells>
  <pageMargins left="0.24" right="0.16" top="0.28000000000000003" bottom="0.33" header="0.2" footer="0.2"/>
  <pageSetup paperSize="9" scale="88" orientation="landscape" r:id="rId1"/>
  <headerFooter alignWithMargins="0">
    <oddFooter>&amp;C&amp;P</oddFooter>
  </headerFooter>
  <colBreaks count="1" manualBreakCount="1">
    <brk id="20" max="1048575" man="1"/>
  </colBreaks>
  <legacyDrawing r:id="rId2"/>
</worksheet>
</file>

<file path=xl/worksheets/sheet22.xml><?xml version="1.0" encoding="utf-8"?>
<worksheet xmlns="http://schemas.openxmlformats.org/spreadsheetml/2006/main" xmlns:r="http://schemas.openxmlformats.org/officeDocument/2006/relationships">
  <dimension ref="A1:V19"/>
  <sheetViews>
    <sheetView zoomScaleNormal="100" workbookViewId="0">
      <pane xSplit="2" ySplit="7" topLeftCell="C8" activePane="bottomRight" state="frozen"/>
      <selection activeCell="E8" sqref="E8"/>
      <selection pane="topRight" activeCell="E8" sqref="E8"/>
      <selection pane="bottomLeft" activeCell="E8" sqref="E8"/>
      <selection pane="bottomRight" activeCell="G11" sqref="G11"/>
    </sheetView>
  </sheetViews>
  <sheetFormatPr defaultColWidth="9" defaultRowHeight="15"/>
  <cols>
    <col min="1" max="1" width="3.5" style="1109" customWidth="1"/>
    <col min="2" max="2" width="22.375" style="1110" customWidth="1"/>
    <col min="3" max="3" width="6.25" style="1109" customWidth="1"/>
    <col min="4" max="4" width="6.5" style="1109" customWidth="1"/>
    <col min="5" max="5" width="8.5" style="11" customWidth="1"/>
    <col min="6" max="6" width="5.375" style="12" customWidth="1"/>
    <col min="7" max="7" width="6.75" style="12" customWidth="1"/>
    <col min="8" max="8" width="5.375" style="103" customWidth="1"/>
    <col min="9" max="9" width="7.625" style="103" customWidth="1"/>
    <col min="10" max="10" width="5.375" style="12" customWidth="1"/>
    <col min="11" max="11" width="7.375" style="12" customWidth="1"/>
    <col min="12" max="12" width="5.5" style="12" customWidth="1"/>
    <col min="13" max="13" width="7.5" style="12" customWidth="1"/>
    <col min="14" max="14" width="5.375" style="101" customWidth="1"/>
    <col min="15" max="15" width="7.375" style="101" customWidth="1"/>
    <col min="16" max="16" width="5.375" style="101" customWidth="1"/>
    <col min="17" max="17" width="7.375" style="101" customWidth="1"/>
    <col min="18" max="18" width="5.375" style="12" customWidth="1"/>
    <col min="19" max="19" width="6.625" style="12" customWidth="1"/>
    <col min="20" max="20" width="16.875" style="1110" customWidth="1"/>
    <col min="21" max="16384" width="9" style="1110"/>
  </cols>
  <sheetData>
    <row r="1" spans="1:22" s="1089" customFormat="1" ht="15.75">
      <c r="A1" s="1607" t="s">
        <v>155</v>
      </c>
      <c r="B1" s="1607"/>
      <c r="C1" s="1088"/>
      <c r="D1" s="1088"/>
      <c r="E1" s="7"/>
      <c r="F1" s="8"/>
      <c r="G1" s="8"/>
      <c r="H1" s="8"/>
      <c r="I1" s="8"/>
      <c r="J1" s="8"/>
      <c r="K1" s="8"/>
      <c r="L1" s="8"/>
      <c r="M1" s="8"/>
      <c r="N1" s="8"/>
      <c r="O1" s="8"/>
      <c r="P1" s="8"/>
      <c r="Q1" s="8"/>
      <c r="R1" s="8"/>
      <c r="S1" s="8"/>
    </row>
    <row r="2" spans="1:22" s="1089" customFormat="1" ht="38.25" customHeight="1">
      <c r="A2" s="1608" t="s">
        <v>204</v>
      </c>
      <c r="B2" s="1608"/>
      <c r="C2" s="1608"/>
      <c r="D2" s="1608"/>
      <c r="E2" s="1608"/>
      <c r="F2" s="1608"/>
      <c r="G2" s="1608"/>
      <c r="H2" s="1608"/>
      <c r="I2" s="1608"/>
      <c r="J2" s="1608"/>
      <c r="K2" s="1608"/>
      <c r="L2" s="1608"/>
      <c r="M2" s="1608"/>
      <c r="N2" s="1608"/>
      <c r="O2" s="1608"/>
      <c r="P2" s="1608"/>
      <c r="Q2" s="1608"/>
      <c r="R2" s="1608"/>
      <c r="S2" s="1608"/>
      <c r="T2" s="1608"/>
    </row>
    <row r="3" spans="1:22" s="1089" customFormat="1" ht="18" customHeight="1">
      <c r="A3" s="1609" t="s">
        <v>154</v>
      </c>
      <c r="B3" s="1609"/>
      <c r="C3" s="1609"/>
      <c r="D3" s="1609"/>
      <c r="E3" s="1609"/>
      <c r="F3" s="1609"/>
      <c r="G3" s="1609"/>
      <c r="H3" s="1609"/>
      <c r="I3" s="1609"/>
      <c r="J3" s="1609"/>
      <c r="K3" s="1609"/>
      <c r="L3" s="1609"/>
      <c r="M3" s="1609"/>
      <c r="N3" s="1609"/>
      <c r="O3" s="1609"/>
      <c r="P3" s="1609"/>
      <c r="Q3" s="1609"/>
      <c r="R3" s="1609"/>
      <c r="S3" s="1609"/>
      <c r="T3" s="1609"/>
    </row>
    <row r="4" spans="1:22" s="1089" customFormat="1" ht="21.75" customHeight="1">
      <c r="A4" s="1090"/>
      <c r="B4" s="1090"/>
      <c r="C4" s="1090"/>
      <c r="D4" s="1090"/>
      <c r="E4" s="1090"/>
      <c r="F4" s="1090"/>
      <c r="G4" s="1091"/>
      <c r="H4" s="1090"/>
      <c r="I4" s="1090"/>
      <c r="J4" s="1090"/>
      <c r="K4" s="1090"/>
      <c r="L4" s="1090"/>
      <c r="M4" s="1090"/>
      <c r="N4" s="1090"/>
      <c r="O4" s="1090"/>
      <c r="P4" s="1090"/>
      <c r="Q4" s="1610" t="s">
        <v>90</v>
      </c>
      <c r="R4" s="1610"/>
      <c r="S4" s="1610"/>
      <c r="T4" s="1610"/>
    </row>
    <row r="5" spans="1:22" s="1092" customFormat="1" ht="27" customHeight="1">
      <c r="A5" s="1605" t="s">
        <v>61</v>
      </c>
      <c r="B5" s="1605" t="s">
        <v>146</v>
      </c>
      <c r="C5" s="1605" t="s">
        <v>63</v>
      </c>
      <c r="D5" s="1611" t="s">
        <v>147</v>
      </c>
      <c r="E5" s="1605" t="s">
        <v>119</v>
      </c>
      <c r="F5" s="1606" t="s">
        <v>19</v>
      </c>
      <c r="G5" s="1612"/>
      <c r="H5" s="1612"/>
      <c r="I5" s="1612"/>
      <c r="J5" s="1612"/>
      <c r="K5" s="1612"/>
      <c r="L5" s="1612"/>
      <c r="M5" s="1612"/>
      <c r="N5" s="1612"/>
      <c r="O5" s="1612"/>
      <c r="P5" s="1612"/>
      <c r="Q5" s="1612"/>
      <c r="R5" s="1612"/>
      <c r="S5" s="1612"/>
      <c r="T5" s="1613" t="s">
        <v>131</v>
      </c>
    </row>
    <row r="6" spans="1:22" s="1092" customFormat="1" ht="27" customHeight="1">
      <c r="A6" s="1605"/>
      <c r="B6" s="1605"/>
      <c r="C6" s="1605"/>
      <c r="D6" s="1611"/>
      <c r="E6" s="1605"/>
      <c r="F6" s="1605" t="s">
        <v>102</v>
      </c>
      <c r="G6" s="1605"/>
      <c r="H6" s="1605" t="s">
        <v>145</v>
      </c>
      <c r="I6" s="1605"/>
      <c r="J6" s="1605" t="s">
        <v>98</v>
      </c>
      <c r="K6" s="1605"/>
      <c r="L6" s="1605" t="s">
        <v>99</v>
      </c>
      <c r="M6" s="1605"/>
      <c r="N6" s="1605" t="s">
        <v>100</v>
      </c>
      <c r="O6" s="1605"/>
      <c r="P6" s="1605" t="s">
        <v>101</v>
      </c>
      <c r="Q6" s="1605"/>
      <c r="R6" s="1605" t="s">
        <v>144</v>
      </c>
      <c r="S6" s="1606"/>
      <c r="T6" s="1614"/>
    </row>
    <row r="7" spans="1:22" s="1092" customFormat="1" ht="28.5" customHeight="1">
      <c r="A7" s="1605"/>
      <c r="B7" s="1605"/>
      <c r="C7" s="1605"/>
      <c r="D7" s="1611"/>
      <c r="E7" s="1605"/>
      <c r="F7" s="1094" t="s">
        <v>147</v>
      </c>
      <c r="G7" s="1094" t="s">
        <v>120</v>
      </c>
      <c r="H7" s="1094" t="s">
        <v>147</v>
      </c>
      <c r="I7" s="1094" t="s">
        <v>120</v>
      </c>
      <c r="J7" s="1094" t="s">
        <v>147</v>
      </c>
      <c r="K7" s="1094" t="s">
        <v>120</v>
      </c>
      <c r="L7" s="1094" t="s">
        <v>147</v>
      </c>
      <c r="M7" s="1094" t="s">
        <v>120</v>
      </c>
      <c r="N7" s="1094" t="s">
        <v>147</v>
      </c>
      <c r="O7" s="1094" t="s">
        <v>120</v>
      </c>
      <c r="P7" s="1094" t="s">
        <v>147</v>
      </c>
      <c r="Q7" s="1094" t="s">
        <v>120</v>
      </c>
      <c r="R7" s="1094" t="s">
        <v>147</v>
      </c>
      <c r="S7" s="1095" t="s">
        <v>120</v>
      </c>
      <c r="T7" s="1615"/>
    </row>
    <row r="8" spans="1:22" s="1092" customFormat="1" ht="28.5" hidden="1" customHeight="1">
      <c r="A8" s="1096"/>
      <c r="B8" s="1096"/>
      <c r="C8" s="1096"/>
      <c r="D8" s="1097"/>
      <c r="E8" s="1098"/>
      <c r="F8" s="1099"/>
      <c r="G8" s="1099"/>
      <c r="H8" s="1099"/>
      <c r="I8" s="1099"/>
      <c r="J8" s="1099"/>
      <c r="K8" s="1099"/>
      <c r="L8" s="1099"/>
      <c r="M8" s="1099"/>
      <c r="N8" s="1099"/>
      <c r="O8" s="1099"/>
      <c r="P8" s="1099"/>
      <c r="Q8" s="1099"/>
      <c r="R8" s="1099"/>
      <c r="S8" s="1100"/>
      <c r="T8" s="1093"/>
    </row>
    <row r="9" spans="1:22" s="1105" customFormat="1" ht="21" customHeight="1">
      <c r="A9" s="1101" t="s">
        <v>67</v>
      </c>
      <c r="B9" s="1102" t="s">
        <v>93</v>
      </c>
      <c r="C9" s="1101" t="s">
        <v>65</v>
      </c>
      <c r="D9" s="1103">
        <f>+F9+H9+J9+L9+N9+P9+R9</f>
        <v>0</v>
      </c>
      <c r="E9" s="1104" t="e">
        <f>+G9+I9+K9+M9+O9+Q9+S9</f>
        <v>#REF!</v>
      </c>
      <c r="F9" s="44"/>
      <c r="G9" s="44" t="e">
        <f>+#REF!+#REF!+G10+#REF!+#REF!+#REF!+#REF!+#REF!</f>
        <v>#REF!</v>
      </c>
      <c r="H9" s="44"/>
      <c r="I9" s="44" t="e">
        <f>+#REF!+#REF!+I10+#REF!+#REF!+#REF!+#REF!+#REF!</f>
        <v>#REF!</v>
      </c>
      <c r="J9" s="44"/>
      <c r="K9" s="44" t="e">
        <f>+#REF!+#REF!+K10+#REF!+#REF!+#REF!+#REF!+#REF!</f>
        <v>#REF!</v>
      </c>
      <c r="L9" s="44"/>
      <c r="M9" s="44" t="e">
        <f>+#REF!+#REF!+M10+#REF!+#REF!+#REF!+#REF!+#REF!</f>
        <v>#REF!</v>
      </c>
      <c r="N9" s="44"/>
      <c r="O9" s="44" t="e">
        <f>+#REF!+#REF!+O10+#REF!+#REF!+#REF!+#REF!+#REF!</f>
        <v>#REF!</v>
      </c>
      <c r="P9" s="44"/>
      <c r="Q9" s="44" t="e">
        <f>+#REF!+#REF!+Q10+#REF!+#REF!+#REF!+#REF!+#REF!</f>
        <v>#REF!</v>
      </c>
      <c r="R9" s="44"/>
      <c r="S9" s="44" t="e">
        <f>+#REF!+#REF!+S10+#REF!+#REF!+#REF!+#REF!+#REF!</f>
        <v>#REF!</v>
      </c>
      <c r="T9" s="40"/>
    </row>
    <row r="10" spans="1:22" s="1113" customFormat="1" ht="21.75" customHeight="1">
      <c r="A10" s="1111">
        <v>3</v>
      </c>
      <c r="B10" s="1112" t="s">
        <v>94</v>
      </c>
      <c r="C10" s="1111" t="s">
        <v>65</v>
      </c>
      <c r="D10" s="1103">
        <f t="shared" ref="D10:E19" si="0">+F10+H10+J10+L10+N10+P10+R10</f>
        <v>0</v>
      </c>
      <c r="E10" s="1103">
        <f>+G10+I10+K10+M10+O10+Q10+S10</f>
        <v>74947</v>
      </c>
      <c r="F10" s="45"/>
      <c r="G10" s="45">
        <f>+G11+G16</f>
        <v>4896</v>
      </c>
      <c r="H10" s="45"/>
      <c r="I10" s="45">
        <f>+SUM(I12:I16)</f>
        <v>3600</v>
      </c>
      <c r="J10" s="45"/>
      <c r="K10" s="45">
        <f>+K11+K16</f>
        <v>31535</v>
      </c>
      <c r="L10" s="45"/>
      <c r="M10" s="45">
        <f>+M11+M16</f>
        <v>0</v>
      </c>
      <c r="N10" s="45"/>
      <c r="O10" s="45">
        <f>+O11+O16</f>
        <v>14185</v>
      </c>
      <c r="P10" s="45"/>
      <c r="Q10" s="45">
        <f>+Q11+Q16</f>
        <v>10662</v>
      </c>
      <c r="R10" s="45"/>
      <c r="S10" s="45">
        <f>+SUM(S12:S16)</f>
        <v>10069</v>
      </c>
      <c r="T10" s="1616" t="s">
        <v>201</v>
      </c>
    </row>
    <row r="11" spans="1:22" s="1114" customFormat="1" ht="25.5" customHeight="1">
      <c r="A11" s="1106" t="s">
        <v>70</v>
      </c>
      <c r="B11" s="1107" t="s">
        <v>1031</v>
      </c>
      <c r="C11" s="1106" t="s">
        <v>71</v>
      </c>
      <c r="D11" s="1103">
        <f>+D15+D16</f>
        <v>6</v>
      </c>
      <c r="E11" s="1103">
        <f t="shared" ref="E11:S11" si="1">+E15+E16</f>
        <v>61347</v>
      </c>
      <c r="F11" s="1103">
        <f>+F15+F16</f>
        <v>1</v>
      </c>
      <c r="G11" s="1103">
        <f t="shared" si="1"/>
        <v>4896</v>
      </c>
      <c r="H11" s="1103">
        <f t="shared" si="1"/>
        <v>0</v>
      </c>
      <c r="I11" s="1103">
        <f t="shared" si="1"/>
        <v>0</v>
      </c>
      <c r="J11" s="1103">
        <f t="shared" si="1"/>
        <v>2</v>
      </c>
      <c r="K11" s="1103">
        <f t="shared" si="1"/>
        <v>21535</v>
      </c>
      <c r="L11" s="1103">
        <f t="shared" si="1"/>
        <v>0</v>
      </c>
      <c r="M11" s="1103">
        <f t="shared" si="1"/>
        <v>0</v>
      </c>
      <c r="N11" s="1103">
        <f t="shared" si="1"/>
        <v>1</v>
      </c>
      <c r="O11" s="1103">
        <f t="shared" si="1"/>
        <v>14185</v>
      </c>
      <c r="P11" s="1103">
        <f t="shared" si="1"/>
        <v>1</v>
      </c>
      <c r="Q11" s="1103">
        <f t="shared" si="1"/>
        <v>10662</v>
      </c>
      <c r="R11" s="1103">
        <f t="shared" si="1"/>
        <v>1</v>
      </c>
      <c r="S11" s="1103">
        <f t="shared" si="1"/>
        <v>10069</v>
      </c>
      <c r="T11" s="1616"/>
    </row>
    <row r="12" spans="1:22" s="1115" customFormat="1" ht="12.75" hidden="1" customHeight="1">
      <c r="A12" s="1106"/>
      <c r="B12" s="1107" t="s">
        <v>196</v>
      </c>
      <c r="C12" s="1106" t="s">
        <v>73</v>
      </c>
      <c r="D12" s="1103">
        <f t="shared" si="0"/>
        <v>0</v>
      </c>
      <c r="E12" s="1103">
        <f t="shared" si="0"/>
        <v>0</v>
      </c>
      <c r="F12" s="47"/>
      <c r="G12" s="47"/>
      <c r="H12" s="47"/>
      <c r="I12" s="40"/>
      <c r="J12" s="47"/>
      <c r="K12" s="40"/>
      <c r="L12" s="47"/>
      <c r="M12" s="40"/>
      <c r="N12" s="47"/>
      <c r="O12" s="47"/>
      <c r="P12" s="47"/>
      <c r="Q12" s="40"/>
      <c r="R12" s="47"/>
      <c r="S12" s="47"/>
      <c r="T12" s="1616"/>
      <c r="U12" s="1114"/>
      <c r="V12" s="1114"/>
    </row>
    <row r="13" spans="1:22" s="1115" customFormat="1" ht="12.75" hidden="1" customHeight="1">
      <c r="A13" s="1106"/>
      <c r="B13" s="1107" t="s">
        <v>195</v>
      </c>
      <c r="C13" s="1106" t="s">
        <v>73</v>
      </c>
      <c r="D13" s="1103" t="e">
        <f t="shared" si="0"/>
        <v>#REF!</v>
      </c>
      <c r="E13" s="1103" t="e">
        <f t="shared" si="0"/>
        <v>#REF!</v>
      </c>
      <c r="F13" s="47" t="e">
        <f>+#REF!</f>
        <v>#REF!</v>
      </c>
      <c r="G13" s="47" t="e">
        <f>+#REF!</f>
        <v>#REF!</v>
      </c>
      <c r="H13" s="47"/>
      <c r="I13" s="40"/>
      <c r="J13" s="47" t="e">
        <f>+#REF!</f>
        <v>#REF!</v>
      </c>
      <c r="K13" s="47" t="e">
        <f>+#REF!</f>
        <v>#REF!</v>
      </c>
      <c r="L13" s="47" t="e">
        <f>+#REF!</f>
        <v>#REF!</v>
      </c>
      <c r="M13" s="47" t="e">
        <f>+#REF!</f>
        <v>#REF!</v>
      </c>
      <c r="N13" s="47" t="e">
        <f>+#REF!+#REF!+#REF!+#REF!</f>
        <v>#REF!</v>
      </c>
      <c r="O13" s="47" t="e">
        <f>+#REF!+#REF!+#REF!+#REF!</f>
        <v>#REF!</v>
      </c>
      <c r="P13" s="47" t="e">
        <f>+#REF!+#REF!</f>
        <v>#REF!</v>
      </c>
      <c r="Q13" s="47" t="e">
        <f>+#REF!+#REF!</f>
        <v>#REF!</v>
      </c>
      <c r="R13" s="47"/>
      <c r="S13" s="40"/>
      <c r="T13" s="1616"/>
      <c r="U13" s="1114"/>
      <c r="V13" s="1114"/>
    </row>
    <row r="14" spans="1:22" s="1115" customFormat="1" ht="12.75" hidden="1" customHeight="1">
      <c r="A14" s="1106"/>
      <c r="B14" s="1107" t="s">
        <v>197</v>
      </c>
      <c r="C14" s="1106"/>
      <c r="D14" s="1103">
        <f t="shared" si="0"/>
        <v>7</v>
      </c>
      <c r="E14" s="1103">
        <f t="shared" si="0"/>
        <v>6900</v>
      </c>
      <c r="F14" s="47"/>
      <c r="G14" s="40"/>
      <c r="H14" s="47">
        <v>4</v>
      </c>
      <c r="I14" s="40">
        <f>18000*0.2</f>
        <v>3600</v>
      </c>
      <c r="J14" s="47"/>
      <c r="K14" s="40"/>
      <c r="L14" s="47">
        <v>3</v>
      </c>
      <c r="M14" s="40">
        <f>16500*0.2</f>
        <v>3300</v>
      </c>
      <c r="N14" s="47"/>
      <c r="O14" s="47"/>
      <c r="P14" s="47"/>
      <c r="Q14" s="40"/>
      <c r="R14" s="47"/>
      <c r="S14" s="40"/>
      <c r="T14" s="1616"/>
      <c r="U14" s="1114"/>
      <c r="V14" s="1114"/>
    </row>
    <row r="15" spans="1:22" s="1114" customFormat="1" ht="22.5" customHeight="1">
      <c r="A15" s="1106"/>
      <c r="B15" s="1107" t="s">
        <v>1032</v>
      </c>
      <c r="C15" s="1106" t="s">
        <v>71</v>
      </c>
      <c r="D15" s="1103">
        <f t="shared" si="0"/>
        <v>5</v>
      </c>
      <c r="E15" s="1103">
        <f t="shared" si="0"/>
        <v>51347</v>
      </c>
      <c r="F15" s="47">
        <v>1</v>
      </c>
      <c r="G15" s="47">
        <f>+[60]Dien!$H$49</f>
        <v>4896</v>
      </c>
      <c r="H15" s="47"/>
      <c r="I15" s="47"/>
      <c r="J15" s="47">
        <v>1</v>
      </c>
      <c r="K15" s="47">
        <f>+[60]Dien!$H$48</f>
        <v>11535</v>
      </c>
      <c r="L15" s="47"/>
      <c r="M15" s="47"/>
      <c r="N15" s="47">
        <v>1</v>
      </c>
      <c r="O15" s="47">
        <f>+[60]Dien!$H$44</f>
        <v>14185</v>
      </c>
      <c r="P15" s="47">
        <v>1</v>
      </c>
      <c r="Q15" s="47">
        <f>+[60]Dien!$H$45</f>
        <v>10662</v>
      </c>
      <c r="R15" s="47">
        <v>1</v>
      </c>
      <c r="S15" s="47">
        <f>+[60]Dien!$H$47</f>
        <v>10069</v>
      </c>
      <c r="T15" s="1616"/>
    </row>
    <row r="16" spans="1:22" s="1114" customFormat="1" ht="27" customHeight="1">
      <c r="A16" s="1106"/>
      <c r="B16" s="1107" t="s">
        <v>1033</v>
      </c>
      <c r="C16" s="1106" t="s">
        <v>801</v>
      </c>
      <c r="D16" s="1103">
        <f t="shared" si="0"/>
        <v>1</v>
      </c>
      <c r="E16" s="1103">
        <f t="shared" si="0"/>
        <v>10000</v>
      </c>
      <c r="F16" s="47"/>
      <c r="G16" s="47"/>
      <c r="H16" s="47"/>
      <c r="I16" s="47"/>
      <c r="J16" s="47">
        <v>1</v>
      </c>
      <c r="K16" s="47">
        <v>10000</v>
      </c>
      <c r="L16" s="47"/>
      <c r="M16" s="47"/>
      <c r="N16" s="47"/>
      <c r="O16" s="47"/>
      <c r="P16" s="47"/>
      <c r="Q16" s="47"/>
      <c r="R16" s="47"/>
      <c r="S16" s="47"/>
      <c r="T16" s="1616"/>
    </row>
    <row r="17" spans="1:22" s="1115" customFormat="1" ht="12.75" hidden="1">
      <c r="A17" s="1106"/>
      <c r="B17" s="1107" t="s">
        <v>196</v>
      </c>
      <c r="C17" s="1106" t="s">
        <v>69</v>
      </c>
      <c r="D17" s="1103">
        <f t="shared" si="0"/>
        <v>0</v>
      </c>
      <c r="E17" s="1103">
        <f t="shared" si="0"/>
        <v>0</v>
      </c>
      <c r="F17" s="47"/>
      <c r="G17" s="40"/>
      <c r="H17" s="47"/>
      <c r="I17" s="40"/>
      <c r="J17" s="47"/>
      <c r="K17" s="40"/>
      <c r="L17" s="47"/>
      <c r="M17" s="40"/>
      <c r="N17" s="47"/>
      <c r="O17" s="47"/>
      <c r="P17" s="47"/>
      <c r="Q17" s="40"/>
      <c r="R17" s="47"/>
      <c r="S17" s="47"/>
      <c r="T17" s="40"/>
      <c r="U17" s="1114"/>
      <c r="V17" s="1114"/>
    </row>
    <row r="18" spans="1:22" s="1115" customFormat="1" ht="12.75" hidden="1">
      <c r="A18" s="1106"/>
      <c r="B18" s="1107" t="s">
        <v>195</v>
      </c>
      <c r="C18" s="1106" t="s">
        <v>69</v>
      </c>
      <c r="D18" s="1103" t="e">
        <f t="shared" si="0"/>
        <v>#REF!</v>
      </c>
      <c r="E18" s="1103" t="e">
        <f t="shared" si="0"/>
        <v>#REF!</v>
      </c>
      <c r="F18" s="47" t="e">
        <f>+#REF!</f>
        <v>#REF!</v>
      </c>
      <c r="G18" s="47" t="e">
        <f>+#REF!</f>
        <v>#REF!</v>
      </c>
      <c r="H18" s="47"/>
      <c r="I18" s="40"/>
      <c r="J18" s="47" t="e">
        <f>+#REF!</f>
        <v>#REF!</v>
      </c>
      <c r="K18" s="47" t="e">
        <f>+#REF!</f>
        <v>#REF!</v>
      </c>
      <c r="L18" s="47" t="e">
        <f>+#REF!</f>
        <v>#REF!</v>
      </c>
      <c r="M18" s="47" t="e">
        <f>+#REF!</f>
        <v>#REF!</v>
      </c>
      <c r="N18" s="47" t="e">
        <f>+#REF!+#REF!+#REF!+#REF!</f>
        <v>#REF!</v>
      </c>
      <c r="O18" s="47" t="e">
        <f>+#REF!+#REF!+#REF!+#REF!</f>
        <v>#REF!</v>
      </c>
      <c r="P18" s="47" t="e">
        <f>+#REF!+#REF!</f>
        <v>#REF!</v>
      </c>
      <c r="Q18" s="47" t="e">
        <f>+#REF!+#REF!</f>
        <v>#REF!</v>
      </c>
      <c r="R18" s="47"/>
      <c r="S18" s="40"/>
      <c r="T18" s="40"/>
      <c r="U18" s="1114"/>
      <c r="V18" s="1114"/>
    </row>
    <row r="19" spans="1:22" s="1115" customFormat="1" ht="12.75" hidden="1">
      <c r="A19" s="1106"/>
      <c r="B19" s="1107" t="s">
        <v>197</v>
      </c>
      <c r="C19" s="1106" t="s">
        <v>69</v>
      </c>
      <c r="D19" s="1103">
        <f t="shared" si="0"/>
        <v>51.8</v>
      </c>
      <c r="E19" s="1103">
        <f t="shared" si="0"/>
        <v>27600</v>
      </c>
      <c r="F19" s="47"/>
      <c r="G19" s="40"/>
      <c r="H19" s="47">
        <f>16.5+11.3</f>
        <v>27.8</v>
      </c>
      <c r="I19" s="40">
        <f>18000-I14</f>
        <v>14400</v>
      </c>
      <c r="J19" s="47"/>
      <c r="K19" s="40"/>
      <c r="L19" s="47">
        <f>13+11</f>
        <v>24</v>
      </c>
      <c r="M19" s="40">
        <f>16500-M14</f>
        <v>13200</v>
      </c>
      <c r="N19" s="47"/>
      <c r="O19" s="47"/>
      <c r="P19" s="47"/>
      <c r="Q19" s="40"/>
      <c r="R19" s="47"/>
      <c r="S19" s="40"/>
      <c r="T19" s="40"/>
      <c r="U19" s="1114"/>
      <c r="V19" s="1114"/>
    </row>
  </sheetData>
  <mergeCells count="19">
    <mergeCell ref="T10:T16"/>
    <mergeCell ref="T5:T7"/>
    <mergeCell ref="F6:G6"/>
    <mergeCell ref="H6:I6"/>
    <mergeCell ref="J6:K6"/>
    <mergeCell ref="L6:M6"/>
    <mergeCell ref="N6:O6"/>
    <mergeCell ref="P6:Q6"/>
    <mergeCell ref="R6:S6"/>
    <mergeCell ref="A1:B1"/>
    <mergeCell ref="A2:T2"/>
    <mergeCell ref="A3:T3"/>
    <mergeCell ref="Q4:T4"/>
    <mergeCell ref="A5:A7"/>
    <mergeCell ref="B5:B7"/>
    <mergeCell ref="C5:C7"/>
    <mergeCell ref="D5:D7"/>
    <mergeCell ref="E5:E7"/>
    <mergeCell ref="F5:S5"/>
  </mergeCells>
  <pageMargins left="0.24" right="0.16" top="0.28000000000000003" bottom="0.33" header="0.2" footer="0.2"/>
  <pageSetup paperSize="9" scale="88" orientation="landscape" r:id="rId1"/>
  <headerFooter alignWithMargins="0">
    <oddFooter>&amp;C&amp;P</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sheetPr codeName="Sheet5"/>
  <dimension ref="A1:G13"/>
  <sheetViews>
    <sheetView zoomScale="85" zoomScaleNormal="85" workbookViewId="0">
      <pane xSplit="2" ySplit="7" topLeftCell="C8" activePane="bottomRight" state="frozen"/>
      <selection pane="topRight" activeCell="C1" sqref="C1"/>
      <selection pane="bottomLeft" activeCell="A7" sqref="A7"/>
      <selection pane="bottomRight" activeCell="I8" sqref="I8"/>
    </sheetView>
  </sheetViews>
  <sheetFormatPr defaultColWidth="9" defaultRowHeight="15"/>
  <cols>
    <col min="1" max="1" width="6.25" style="10" customWidth="1"/>
    <col min="2" max="2" width="39.5" style="9" customWidth="1"/>
    <col min="3" max="5" width="15.375" style="9" customWidth="1"/>
    <col min="6" max="7" width="19.625" style="9" customWidth="1"/>
    <col min="8" max="16384" width="9" style="9"/>
  </cols>
  <sheetData>
    <row r="1" spans="1:7" s="4" customFormat="1" ht="18.75">
      <c r="A1" s="1400" t="s">
        <v>21</v>
      </c>
      <c r="B1" s="1400"/>
      <c r="C1" s="78"/>
      <c r="D1" s="78"/>
      <c r="E1" s="78"/>
      <c r="F1" s="78"/>
      <c r="G1" s="78"/>
    </row>
    <row r="2" spans="1:7" s="4" customFormat="1" ht="45.75" customHeight="1">
      <c r="A2" s="1403" t="s">
        <v>59</v>
      </c>
      <c r="B2" s="1403"/>
      <c r="C2" s="1403"/>
      <c r="D2" s="1403"/>
      <c r="E2" s="1403"/>
      <c r="F2" s="1403"/>
      <c r="G2" s="1403"/>
    </row>
    <row r="3" spans="1:7" s="4" customFormat="1" ht="19.5" customHeight="1">
      <c r="A3" s="79"/>
      <c r="B3" s="79"/>
      <c r="C3" s="79"/>
      <c r="D3" s="79"/>
      <c r="E3" s="79"/>
      <c r="F3" s="79"/>
      <c r="G3" s="79"/>
    </row>
    <row r="4" spans="1:7" s="4" customFormat="1" ht="21.75" customHeight="1">
      <c r="A4" s="79"/>
      <c r="B4" s="79"/>
      <c r="C4" s="78"/>
      <c r="D4" s="78"/>
      <c r="E4" s="78"/>
      <c r="F4" s="1402" t="s">
        <v>58</v>
      </c>
      <c r="G4" s="1402"/>
    </row>
    <row r="5" spans="1:7" s="5" customFormat="1" ht="30" customHeight="1">
      <c r="A5" s="1401" t="s">
        <v>61</v>
      </c>
      <c r="B5" s="1401" t="s">
        <v>62</v>
      </c>
      <c r="C5" s="1401" t="s">
        <v>52</v>
      </c>
      <c r="D5" s="1401" t="s">
        <v>53</v>
      </c>
      <c r="E5" s="1401" t="s">
        <v>54</v>
      </c>
      <c r="F5" s="1404" t="s">
        <v>57</v>
      </c>
      <c r="G5" s="1405"/>
    </row>
    <row r="6" spans="1:7" s="5" customFormat="1" ht="30" customHeight="1">
      <c r="A6" s="1401"/>
      <c r="B6" s="1401"/>
      <c r="C6" s="1401"/>
      <c r="D6" s="1401"/>
      <c r="E6" s="1401"/>
      <c r="F6" s="1406" t="s">
        <v>55</v>
      </c>
      <c r="G6" s="1406" t="s">
        <v>56</v>
      </c>
    </row>
    <row r="7" spans="1:7" s="5" customFormat="1" ht="35.25" customHeight="1">
      <c r="A7" s="1401"/>
      <c r="B7" s="1401"/>
      <c r="C7" s="1401"/>
      <c r="D7" s="1401"/>
      <c r="E7" s="1401"/>
      <c r="F7" s="1406"/>
      <c r="G7" s="1406"/>
    </row>
    <row r="8" spans="1:7" s="22" customFormat="1" ht="38.25" customHeight="1">
      <c r="A8" s="80"/>
      <c r="B8" s="81" t="s">
        <v>121</v>
      </c>
      <c r="C8" s="92">
        <f>+C9+C10+C11+C12</f>
        <v>7255.7749999999996</v>
      </c>
      <c r="D8" s="92">
        <f>+D9+D10+D11+D12</f>
        <v>7896.4000000000005</v>
      </c>
      <c r="E8" s="92" t="e">
        <f>+E9+E10+E11+E12</f>
        <v>#REF!</v>
      </c>
      <c r="F8" s="82" t="e">
        <f>+E8/C8*100</f>
        <v>#REF!</v>
      </c>
      <c r="G8" s="82" t="e">
        <f>+E8/D8*100</f>
        <v>#REF!</v>
      </c>
    </row>
    <row r="9" spans="1:7" s="22" customFormat="1" ht="38.25" customHeight="1">
      <c r="A9" s="83">
        <v>1</v>
      </c>
      <c r="B9" s="84" t="s">
        <v>51</v>
      </c>
      <c r="C9" s="85">
        <v>1924.7</v>
      </c>
      <c r="D9" s="85">
        <v>2876.8</v>
      </c>
      <c r="E9" s="85" t="e">
        <f>+#REF!/1000</f>
        <v>#REF!</v>
      </c>
      <c r="F9" s="86" t="e">
        <f>+E9/C9*100</f>
        <v>#REF!</v>
      </c>
      <c r="G9" s="86" t="e">
        <f>+E9/D9*100</f>
        <v>#REF!</v>
      </c>
    </row>
    <row r="10" spans="1:7" s="24" customFormat="1" ht="38.25" customHeight="1">
      <c r="A10" s="87">
        <v>2</v>
      </c>
      <c r="B10" s="88" t="s">
        <v>125</v>
      </c>
      <c r="C10" s="89">
        <v>4066.5</v>
      </c>
      <c r="D10" s="89">
        <v>1720</v>
      </c>
      <c r="E10" s="89" t="e">
        <f>+#REF!/1000</f>
        <v>#REF!</v>
      </c>
      <c r="F10" s="86" t="e">
        <f>+E10/C10*100</f>
        <v>#REF!</v>
      </c>
      <c r="G10" s="86" t="e">
        <f>+E10/D10*100</f>
        <v>#REF!</v>
      </c>
    </row>
    <row r="11" spans="1:7" s="24" customFormat="1" ht="38.25" customHeight="1">
      <c r="A11" s="87">
        <v>3</v>
      </c>
      <c r="B11" s="88" t="s">
        <v>126</v>
      </c>
      <c r="C11" s="89">
        <f>409.875</f>
        <v>409.875</v>
      </c>
      <c r="D11" s="89">
        <v>1375.4</v>
      </c>
      <c r="E11" s="89" t="e">
        <f>+#REF!/1000</f>
        <v>#REF!</v>
      </c>
      <c r="F11" s="86" t="e">
        <f>+E11/C11*100</f>
        <v>#REF!</v>
      </c>
      <c r="G11" s="86" t="e">
        <f>+E11/D11*100</f>
        <v>#REF!</v>
      </c>
    </row>
    <row r="12" spans="1:7" s="22" customFormat="1" ht="38.25" customHeight="1">
      <c r="A12" s="90">
        <v>4</v>
      </c>
      <c r="B12" s="91" t="s">
        <v>127</v>
      </c>
      <c r="C12" s="85">
        <v>854.7</v>
      </c>
      <c r="D12" s="85">
        <v>1924.2</v>
      </c>
      <c r="E12" s="89" t="e">
        <f>+#REF!/1000</f>
        <v>#REF!</v>
      </c>
      <c r="F12" s="86" t="e">
        <f>+E12/C12*100</f>
        <v>#REF!</v>
      </c>
      <c r="G12" s="86" t="e">
        <f>+E12/D12*100</f>
        <v>#REF!</v>
      </c>
    </row>
    <row r="13" spans="1:7" s="27" customFormat="1" ht="12.75" customHeight="1">
      <c r="A13" s="25"/>
    </row>
  </sheetData>
  <mergeCells count="11">
    <mergeCell ref="A1:B1"/>
    <mergeCell ref="A5:A7"/>
    <mergeCell ref="B5:B7"/>
    <mergeCell ref="F4:G4"/>
    <mergeCell ref="A2:G2"/>
    <mergeCell ref="C5:C7"/>
    <mergeCell ref="D5:D7"/>
    <mergeCell ref="E5:E7"/>
    <mergeCell ref="F5:G5"/>
    <mergeCell ref="F6:F7"/>
    <mergeCell ref="G6:G7"/>
  </mergeCells>
  <phoneticPr fontId="0" type="noConversion"/>
  <pageMargins left="0.5" right="0.16" top="1.1100000000000001" bottom="0.27" header="0.2" footer="0.2"/>
  <pageSetup paperSize="9" orientation="landscape" r:id="rId1"/>
  <headerFooter alignWithMargins="0">
    <oddFooter xml:space="preserve">&amp;CPage &amp;P </oddFooter>
  </headerFooter>
</worksheet>
</file>

<file path=xl/worksheets/sheet4.xml><?xml version="1.0" encoding="utf-8"?>
<worksheet xmlns="http://schemas.openxmlformats.org/spreadsheetml/2006/main" xmlns:r="http://schemas.openxmlformats.org/officeDocument/2006/relationships">
  <sheetPr codeName="Sheet6"/>
  <dimension ref="A1:AH33"/>
  <sheetViews>
    <sheetView workbookViewId="0">
      <pane xSplit="2" ySplit="8" topLeftCell="V12" activePane="bottomRight" state="frozen"/>
      <selection pane="topRight" activeCell="C1" sqref="C1"/>
      <selection pane="bottomLeft" activeCell="A7" sqref="A7"/>
      <selection pane="bottomRight" activeCell="AC12" sqref="AC12"/>
    </sheetView>
  </sheetViews>
  <sheetFormatPr defaultColWidth="9" defaultRowHeight="15"/>
  <cols>
    <col min="1" max="1" width="3.5" style="10" hidden="1" customWidth="1"/>
    <col min="2" max="2" width="16.625" style="9" hidden="1" customWidth="1"/>
    <col min="3" max="3" width="5.625" style="10" hidden="1" customWidth="1"/>
    <col min="4" max="4" width="5.25" style="10" hidden="1" customWidth="1"/>
    <col min="5" max="5" width="7.625" style="11" hidden="1" customWidth="1"/>
    <col min="6" max="6" width="4.875" style="12" hidden="1" customWidth="1"/>
    <col min="7" max="7" width="6.5" style="12" hidden="1" customWidth="1"/>
    <col min="8" max="8" width="4.625" style="12" hidden="1" customWidth="1"/>
    <col min="9" max="9" width="6.625" style="12" hidden="1" customWidth="1"/>
    <col min="10" max="10" width="5.375" style="12" hidden="1" customWidth="1"/>
    <col min="11" max="11" width="6.75" style="12" hidden="1" customWidth="1"/>
    <col min="12" max="12" width="5.375" style="12" hidden="1" customWidth="1"/>
    <col min="13" max="13" width="6.875" style="12" hidden="1" customWidth="1"/>
    <col min="14" max="14" width="5.125" style="12" hidden="1" customWidth="1"/>
    <col min="15" max="15" width="7.375" style="12" hidden="1" customWidth="1"/>
    <col min="16" max="16" width="5" style="12" hidden="1" customWidth="1"/>
    <col min="17" max="17" width="6.625" style="12" hidden="1" customWidth="1"/>
    <col min="18" max="18" width="4.875" style="12" hidden="1" customWidth="1"/>
    <col min="19" max="19" width="5.75" style="12" hidden="1" customWidth="1"/>
    <col min="20" max="20" width="14.75" style="9" hidden="1" customWidth="1"/>
    <col min="21" max="21" width="0" style="9" hidden="1" customWidth="1"/>
    <col min="22" max="22" width="4" style="9" customWidth="1"/>
    <col min="23" max="23" width="17.25" style="9" customWidth="1"/>
    <col min="24" max="24" width="16.125" style="9" customWidth="1"/>
    <col min="25" max="25" width="10.875" style="9" bestFit="1" customWidth="1"/>
    <col min="26" max="26" width="11.125" style="9" bestFit="1" customWidth="1"/>
    <col min="27" max="27" width="10.125" style="9" bestFit="1" customWidth="1"/>
    <col min="28" max="28" width="10.625" style="9" bestFit="1" customWidth="1"/>
    <col min="29" max="29" width="10.75" style="9" customWidth="1"/>
    <col min="30" max="30" width="10.5" style="9" customWidth="1"/>
    <col min="31" max="31" width="9.125" style="9" bestFit="1" customWidth="1"/>
    <col min="32" max="32" width="13.375" style="9" customWidth="1"/>
    <col min="33" max="33" width="10.875" style="9" bestFit="1" customWidth="1"/>
    <col min="34" max="16384" width="9" style="9"/>
  </cols>
  <sheetData>
    <row r="1" spans="1:34" s="4" customFormat="1" ht="15.75" hidden="1">
      <c r="A1" s="1416" t="s">
        <v>22</v>
      </c>
      <c r="B1" s="1416"/>
      <c r="C1" s="3"/>
      <c r="D1" s="3"/>
      <c r="E1" s="7"/>
      <c r="F1" s="8"/>
      <c r="G1" s="8"/>
      <c r="H1" s="8"/>
      <c r="I1" s="8"/>
      <c r="J1" s="8"/>
      <c r="K1" s="8"/>
      <c r="L1" s="8"/>
      <c r="M1" s="8"/>
      <c r="N1" s="8"/>
      <c r="O1" s="8"/>
      <c r="P1" s="8"/>
      <c r="Q1" s="8"/>
      <c r="R1" s="8"/>
      <c r="S1" s="8"/>
    </row>
    <row r="2" spans="1:34" s="4" customFormat="1" ht="38.25" hidden="1" customHeight="1">
      <c r="A2" s="1417" t="s">
        <v>11</v>
      </c>
      <c r="B2" s="1417"/>
      <c r="C2" s="1417"/>
      <c r="D2" s="1417"/>
      <c r="E2" s="1417"/>
      <c r="F2" s="1417"/>
      <c r="G2" s="1417"/>
      <c r="H2" s="1417"/>
      <c r="I2" s="1417"/>
      <c r="J2" s="1417"/>
      <c r="K2" s="1417"/>
      <c r="L2" s="1417"/>
      <c r="M2" s="1417"/>
      <c r="N2" s="1417"/>
      <c r="O2" s="1417"/>
      <c r="P2" s="1417"/>
      <c r="Q2" s="1417"/>
      <c r="R2" s="1417"/>
      <c r="S2" s="1417"/>
    </row>
    <row r="3" spans="1:34" s="4" customFormat="1" ht="18" hidden="1" customHeight="1">
      <c r="A3" s="1418" t="e">
        <f>+#REF!</f>
        <v>#REF!</v>
      </c>
      <c r="B3" s="1418"/>
      <c r="C3" s="1418"/>
      <c r="D3" s="1418"/>
      <c r="E3" s="1418"/>
      <c r="F3" s="1418"/>
      <c r="G3" s="1418"/>
      <c r="H3" s="1418"/>
      <c r="I3" s="1418"/>
      <c r="J3" s="1418"/>
      <c r="K3" s="1418"/>
      <c r="L3" s="1418"/>
      <c r="M3" s="1418"/>
      <c r="N3" s="1418"/>
      <c r="O3" s="1418"/>
      <c r="P3" s="1418"/>
      <c r="Q3" s="1418"/>
      <c r="R3" s="1418"/>
      <c r="S3" s="1418"/>
    </row>
    <row r="4" spans="1:34" s="4" customFormat="1" ht="21.75" hidden="1" customHeight="1">
      <c r="A4" s="19"/>
      <c r="B4" s="19"/>
      <c r="C4" s="19"/>
      <c r="D4" s="19"/>
      <c r="E4" s="19"/>
      <c r="F4" s="19"/>
      <c r="G4" s="20"/>
      <c r="H4" s="19"/>
      <c r="I4" s="19"/>
      <c r="J4" s="19"/>
      <c r="K4" s="19"/>
      <c r="L4" s="19"/>
      <c r="M4" s="19"/>
      <c r="N4" s="19"/>
      <c r="O4" s="19"/>
      <c r="P4" s="19"/>
      <c r="Q4" s="1419" t="s">
        <v>90</v>
      </c>
      <c r="R4" s="1419"/>
      <c r="S4" s="1419"/>
    </row>
    <row r="5" spans="1:34" s="5" customFormat="1" ht="27" customHeight="1">
      <c r="A5" s="1410" t="s">
        <v>61</v>
      </c>
      <c r="B5" s="1410" t="s">
        <v>62</v>
      </c>
      <c r="C5" s="1410" t="s">
        <v>63</v>
      </c>
      <c r="D5" s="1420" t="s">
        <v>64</v>
      </c>
      <c r="E5" s="1410" t="s">
        <v>119</v>
      </c>
      <c r="F5" s="1421" t="e">
        <f>+#REF!</f>
        <v>#REF!</v>
      </c>
      <c r="G5" s="1422"/>
      <c r="H5" s="1422"/>
      <c r="I5" s="1422"/>
      <c r="J5" s="1422"/>
      <c r="K5" s="1422"/>
      <c r="L5" s="1422"/>
      <c r="M5" s="1422"/>
      <c r="N5" s="1422"/>
      <c r="O5" s="1422"/>
      <c r="P5" s="1422"/>
      <c r="Q5" s="1422"/>
      <c r="R5" s="1422"/>
      <c r="S5" s="1423"/>
      <c r="T5" s="1413" t="s">
        <v>131</v>
      </c>
      <c r="V5" s="1408" t="s">
        <v>42</v>
      </c>
      <c r="W5" s="1408"/>
      <c r="X5" s="1408"/>
      <c r="Y5" s="1408"/>
      <c r="Z5" s="1408"/>
      <c r="AA5" s="1408"/>
      <c r="AB5" s="1408"/>
      <c r="AC5" s="1408"/>
      <c r="AD5" s="1408"/>
      <c r="AE5" s="1408"/>
      <c r="AF5" s="1408"/>
      <c r="AG5" s="1408"/>
    </row>
    <row r="6" spans="1:34" s="5" customFormat="1" ht="20.25" customHeight="1">
      <c r="A6" s="1410"/>
      <c r="B6" s="1410"/>
      <c r="C6" s="1410"/>
      <c r="D6" s="1420"/>
      <c r="E6" s="1410"/>
      <c r="F6" s="70"/>
      <c r="G6" s="71"/>
      <c r="H6" s="71"/>
      <c r="I6" s="71"/>
      <c r="J6" s="71"/>
      <c r="K6" s="71"/>
      <c r="L6" s="71"/>
      <c r="M6" s="71"/>
      <c r="N6" s="71"/>
      <c r="O6" s="71"/>
      <c r="P6" s="71"/>
      <c r="Q6" s="71"/>
      <c r="R6" s="71"/>
      <c r="S6" s="72"/>
      <c r="T6" s="1414"/>
      <c r="V6" s="73"/>
      <c r="W6" s="73"/>
      <c r="X6" s="73"/>
      <c r="Y6" s="73"/>
      <c r="Z6" s="73"/>
      <c r="AA6" s="73"/>
      <c r="AB6" s="73"/>
      <c r="AC6" s="73"/>
      <c r="AD6" s="73"/>
      <c r="AE6" s="73"/>
      <c r="AF6" s="1409" t="s">
        <v>90</v>
      </c>
      <c r="AG6" s="1409"/>
    </row>
    <row r="7" spans="1:34" s="5" customFormat="1" ht="27" customHeight="1">
      <c r="A7" s="1410"/>
      <c r="B7" s="1410"/>
      <c r="C7" s="1410"/>
      <c r="D7" s="1420"/>
      <c r="E7" s="1410"/>
      <c r="F7" s="1410" t="s">
        <v>102</v>
      </c>
      <c r="G7" s="1410"/>
      <c r="H7" s="1410" t="s">
        <v>145</v>
      </c>
      <c r="I7" s="1410"/>
      <c r="J7" s="1410" t="s">
        <v>98</v>
      </c>
      <c r="K7" s="1410"/>
      <c r="L7" s="1410" t="s">
        <v>99</v>
      </c>
      <c r="M7" s="1410"/>
      <c r="N7" s="1410" t="s">
        <v>100</v>
      </c>
      <c r="O7" s="1410"/>
      <c r="P7" s="1410" t="s">
        <v>101</v>
      </c>
      <c r="Q7" s="1410"/>
      <c r="R7" s="1410" t="s">
        <v>144</v>
      </c>
      <c r="S7" s="1410"/>
      <c r="T7" s="1414"/>
      <c r="V7" s="1407" t="s">
        <v>130</v>
      </c>
      <c r="W7" s="1407" t="s">
        <v>146</v>
      </c>
      <c r="X7" s="1407" t="s">
        <v>43</v>
      </c>
      <c r="Y7" s="1407" t="s">
        <v>12</v>
      </c>
      <c r="Z7" s="1407" t="s">
        <v>35</v>
      </c>
      <c r="AA7" s="1407" t="s">
        <v>27</v>
      </c>
      <c r="AB7" s="1407" t="s">
        <v>33</v>
      </c>
      <c r="AC7" s="1407" t="s">
        <v>41</v>
      </c>
      <c r="AD7" s="1407" t="s">
        <v>31</v>
      </c>
      <c r="AE7" s="1407" t="s">
        <v>32</v>
      </c>
      <c r="AF7" s="1407" t="s">
        <v>125</v>
      </c>
      <c r="AG7" s="1407" t="s">
        <v>37</v>
      </c>
    </row>
    <row r="8" spans="1:34" s="5" customFormat="1" ht="54.75" customHeight="1">
      <c r="A8" s="1410"/>
      <c r="B8" s="1410"/>
      <c r="C8" s="1410"/>
      <c r="D8" s="1420"/>
      <c r="E8" s="1410"/>
      <c r="F8" s="2" t="s">
        <v>64</v>
      </c>
      <c r="G8" s="2" t="s">
        <v>120</v>
      </c>
      <c r="H8" s="2" t="s">
        <v>64</v>
      </c>
      <c r="I8" s="2" t="s">
        <v>120</v>
      </c>
      <c r="J8" s="2" t="s">
        <v>64</v>
      </c>
      <c r="K8" s="2" t="s">
        <v>120</v>
      </c>
      <c r="L8" s="2" t="s">
        <v>64</v>
      </c>
      <c r="M8" s="2" t="s">
        <v>120</v>
      </c>
      <c r="N8" s="2" t="s">
        <v>64</v>
      </c>
      <c r="O8" s="2" t="s">
        <v>120</v>
      </c>
      <c r="P8" s="2" t="s">
        <v>64</v>
      </c>
      <c r="Q8" s="2" t="s">
        <v>120</v>
      </c>
      <c r="R8" s="2" t="s">
        <v>64</v>
      </c>
      <c r="S8" s="2" t="s">
        <v>120</v>
      </c>
      <c r="T8" s="1415"/>
      <c r="V8" s="1407"/>
      <c r="W8" s="1407"/>
      <c r="X8" s="1407"/>
      <c r="Y8" s="1407"/>
      <c r="Z8" s="1407"/>
      <c r="AA8" s="1407"/>
      <c r="AB8" s="1407"/>
      <c r="AC8" s="1407"/>
      <c r="AD8" s="1407"/>
      <c r="AE8" s="1407"/>
      <c r="AF8" s="1407"/>
      <c r="AG8" s="1407"/>
    </row>
    <row r="9" spans="1:34" s="18" customFormat="1" ht="30.75" customHeight="1">
      <c r="A9" s="16"/>
      <c r="B9" s="1" t="s">
        <v>106</v>
      </c>
      <c r="C9" s="1" t="s">
        <v>65</v>
      </c>
      <c r="D9" s="17">
        <f>+F9+H9+J9+L9+N9+P9+R9</f>
        <v>0</v>
      </c>
      <c r="E9" s="17" t="e">
        <f>+G9+I9+K9+M9+O9+Q9+S9</f>
        <v>#REF!</v>
      </c>
      <c r="F9" s="15"/>
      <c r="G9" s="15" t="e">
        <f>+G10+G12+G20+#REF!</f>
        <v>#REF!</v>
      </c>
      <c r="H9" s="15"/>
      <c r="I9" s="15" t="e">
        <f>+I10+I12+I20+#REF!</f>
        <v>#REF!</v>
      </c>
      <c r="J9" s="15"/>
      <c r="K9" s="15" t="e">
        <f>+K10+K12+K20+#REF!</f>
        <v>#REF!</v>
      </c>
      <c r="L9" s="15"/>
      <c r="M9" s="15" t="e">
        <f>+M10+M12+M20+#REF!</f>
        <v>#REF!</v>
      </c>
      <c r="N9" s="15"/>
      <c r="O9" s="15" t="e">
        <f>+O10+O12+O20+#REF!</f>
        <v>#REF!</v>
      </c>
      <c r="P9" s="15"/>
      <c r="Q9" s="15" t="e">
        <f>+Q10+Q12+Q20+#REF!</f>
        <v>#REF!</v>
      </c>
      <c r="R9" s="15"/>
      <c r="S9" s="15" t="e">
        <f>+S10+S12+S20+#REF!</f>
        <v>#REF!</v>
      </c>
      <c r="T9" s="33"/>
      <c r="V9" s="74"/>
      <c r="W9" s="76" t="s">
        <v>153</v>
      </c>
      <c r="X9" s="77" t="e">
        <f>+SUM(X10:X22)</f>
        <v>#REF!</v>
      </c>
      <c r="Y9" s="77">
        <f t="shared" ref="Y9:AG9" si="0">+SUM(Y10:Y22)</f>
        <v>26417</v>
      </c>
      <c r="Z9" s="77" t="e">
        <f t="shared" si="0"/>
        <v>#REF!</v>
      </c>
      <c r="AA9" s="77" t="e">
        <f t="shared" si="0"/>
        <v>#REF!</v>
      </c>
      <c r="AB9" s="77">
        <f t="shared" si="0"/>
        <v>31371</v>
      </c>
      <c r="AC9" s="77">
        <f t="shared" si="0"/>
        <v>71800</v>
      </c>
      <c r="AD9" s="77" t="e">
        <f t="shared" si="0"/>
        <v>#REF!</v>
      </c>
      <c r="AE9" s="77">
        <f t="shared" si="0"/>
        <v>4603</v>
      </c>
      <c r="AF9" s="77" t="e">
        <f t="shared" si="0"/>
        <v>#REF!</v>
      </c>
      <c r="AG9" s="77" t="e">
        <f t="shared" si="0"/>
        <v>#REF!</v>
      </c>
      <c r="AH9" s="93" t="e">
        <f>+#REF!-'Huy dong'!AG9</f>
        <v>#REF!</v>
      </c>
    </row>
    <row r="10" spans="1:34" s="13" customFormat="1" ht="30.75" customHeight="1">
      <c r="A10" s="34" t="s">
        <v>66</v>
      </c>
      <c r="B10" s="35" t="s">
        <v>95</v>
      </c>
      <c r="C10" s="34" t="s">
        <v>65</v>
      </c>
      <c r="D10" s="36">
        <f t="shared" ref="D10:E17" si="1">+F10+H10+J10+L10+N10+P10+R10</f>
        <v>0</v>
      </c>
      <c r="E10" s="36">
        <f t="shared" si="1"/>
        <v>350</v>
      </c>
      <c r="F10" s="37"/>
      <c r="G10" s="37">
        <f>+G11</f>
        <v>50</v>
      </c>
      <c r="H10" s="37"/>
      <c r="I10" s="37">
        <f>+I11</f>
        <v>50</v>
      </c>
      <c r="J10" s="37"/>
      <c r="K10" s="37">
        <f>+K11</f>
        <v>50</v>
      </c>
      <c r="L10" s="37"/>
      <c r="M10" s="37">
        <f>+M11</f>
        <v>50</v>
      </c>
      <c r="N10" s="37"/>
      <c r="O10" s="37">
        <f>+O11</f>
        <v>50</v>
      </c>
      <c r="P10" s="37"/>
      <c r="Q10" s="37">
        <f>+Q11</f>
        <v>50</v>
      </c>
      <c r="R10" s="37"/>
      <c r="S10" s="37">
        <f>+S11</f>
        <v>50</v>
      </c>
      <c r="T10" s="59"/>
      <c r="V10" s="28">
        <v>1</v>
      </c>
      <c r="W10" s="75" t="s">
        <v>28</v>
      </c>
      <c r="X10" s="30">
        <f t="shared" ref="X10:X21" si="2">+Y10+Z10+AA10+AC10+AB10+AD10+AE10+AF10+AG10</f>
        <v>350</v>
      </c>
      <c r="Y10" s="30">
        <v>350</v>
      </c>
      <c r="Z10" s="30"/>
      <c r="AA10" s="30"/>
      <c r="AB10" s="30"/>
      <c r="AC10" s="30"/>
      <c r="AD10" s="30"/>
      <c r="AE10" s="30"/>
      <c r="AF10" s="30"/>
      <c r="AG10" s="30"/>
    </row>
    <row r="11" spans="1:34" s="6" customFormat="1" ht="30.75" customHeight="1">
      <c r="A11" s="32"/>
      <c r="B11" s="38" t="s">
        <v>20</v>
      </c>
      <c r="C11" s="32" t="s">
        <v>65</v>
      </c>
      <c r="D11" s="39">
        <f t="shared" si="1"/>
        <v>14</v>
      </c>
      <c r="E11" s="39">
        <f t="shared" si="1"/>
        <v>350</v>
      </c>
      <c r="F11" s="40">
        <v>2</v>
      </c>
      <c r="G11" s="40">
        <f>+F11*25</f>
        <v>50</v>
      </c>
      <c r="H11" s="40">
        <v>2</v>
      </c>
      <c r="I11" s="40">
        <f>+H11*25</f>
        <v>50</v>
      </c>
      <c r="J11" s="40">
        <v>2</v>
      </c>
      <c r="K11" s="40">
        <f>+J11*25</f>
        <v>50</v>
      </c>
      <c r="L11" s="40">
        <v>2</v>
      </c>
      <c r="M11" s="40">
        <f>+L11*25</f>
        <v>50</v>
      </c>
      <c r="N11" s="40">
        <v>2</v>
      </c>
      <c r="O11" s="40">
        <f>+N11*25</f>
        <v>50</v>
      </c>
      <c r="P11" s="40">
        <v>2</v>
      </c>
      <c r="Q11" s="40">
        <f>+P11*25</f>
        <v>50</v>
      </c>
      <c r="R11" s="40">
        <v>2</v>
      </c>
      <c r="S11" s="40">
        <f>+R11*25</f>
        <v>50</v>
      </c>
      <c r="T11" s="60" t="s">
        <v>12</v>
      </c>
      <c r="V11" s="28">
        <v>2</v>
      </c>
      <c r="W11" s="75" t="s">
        <v>29</v>
      </c>
      <c r="X11" s="30" t="e">
        <f>+#REF!</f>
        <v>#REF!</v>
      </c>
      <c r="Y11" s="30"/>
      <c r="Z11" s="30"/>
      <c r="AA11" s="30" t="e">
        <f>+X11-AD11-AG11</f>
        <v>#REF!</v>
      </c>
      <c r="AB11" s="30"/>
      <c r="AC11" s="30"/>
      <c r="AD11" s="30">
        <v>9670</v>
      </c>
      <c r="AE11" s="30"/>
      <c r="AF11" s="30"/>
      <c r="AG11" s="30" t="e">
        <f>+(#REF!+#REF!+#REF!)*0.5</f>
        <v>#REF!</v>
      </c>
    </row>
    <row r="12" spans="1:34" s="13" customFormat="1" ht="30.75" customHeight="1">
      <c r="A12" s="41" t="s">
        <v>67</v>
      </c>
      <c r="B12" s="42" t="s">
        <v>93</v>
      </c>
      <c r="C12" s="41" t="s">
        <v>65</v>
      </c>
      <c r="D12" s="43">
        <f t="shared" si="1"/>
        <v>0</v>
      </c>
      <c r="E12" s="44" t="e">
        <f>+E13+#REF!+#REF!+#REF!+#REF!+#REF!+#REF!+E17+E19+#REF!</f>
        <v>#REF!</v>
      </c>
      <c r="F12" s="44"/>
      <c r="G12" s="44" t="e">
        <f>+G13+#REF!+#REF!+#REF!+#REF!+#REF!+#REF!+G17+G19+#REF!</f>
        <v>#REF!</v>
      </c>
      <c r="H12" s="44"/>
      <c r="I12" s="44" t="e">
        <f>+I13+#REF!+#REF!+#REF!+#REF!+#REF!+#REF!+I17+I19+#REF!</f>
        <v>#REF!</v>
      </c>
      <c r="J12" s="44"/>
      <c r="K12" s="44" t="e">
        <f>+K13+#REF!+#REF!+#REF!+#REF!+#REF!+#REF!+K17+K19+#REF!</f>
        <v>#REF!</v>
      </c>
      <c r="L12" s="44"/>
      <c r="M12" s="44" t="e">
        <f>+M13+#REF!+#REF!+#REF!+#REF!+#REF!+#REF!+M17+M19+#REF!</f>
        <v>#REF!</v>
      </c>
      <c r="N12" s="44"/>
      <c r="O12" s="44" t="e">
        <f>+O13+#REF!+#REF!+#REF!+#REF!+#REF!+#REF!+O17+O19+#REF!</f>
        <v>#REF!</v>
      </c>
      <c r="P12" s="44"/>
      <c r="Q12" s="44" t="e">
        <f>+Q13+#REF!+#REF!+#REF!+#REF!+#REF!+#REF!+Q17+Q19+#REF!</f>
        <v>#REF!</v>
      </c>
      <c r="R12" s="44"/>
      <c r="S12" s="44" t="e">
        <f>+S13+#REF!+#REF!+#REF!+#REF!+#REF!+#REF!+S17+S19+#REF!</f>
        <v>#REF!</v>
      </c>
      <c r="T12" s="61"/>
      <c r="V12" s="28">
        <v>3</v>
      </c>
      <c r="W12" s="75" t="s">
        <v>30</v>
      </c>
      <c r="X12" s="30">
        <f t="shared" si="2"/>
        <v>8723</v>
      </c>
      <c r="Y12" s="30">
        <v>4120</v>
      </c>
      <c r="Z12" s="30"/>
      <c r="AA12" s="30"/>
      <c r="AB12" s="30"/>
      <c r="AC12" s="30"/>
      <c r="AD12" s="30"/>
      <c r="AE12" s="30">
        <v>4603</v>
      </c>
      <c r="AF12" s="30"/>
      <c r="AG12" s="30"/>
    </row>
    <row r="13" spans="1:34" s="6" customFormat="1" ht="30.75" customHeight="1">
      <c r="A13" s="32">
        <v>1</v>
      </c>
      <c r="B13" s="38" t="s">
        <v>68</v>
      </c>
      <c r="C13" s="32" t="s">
        <v>69</v>
      </c>
      <c r="D13" s="46" t="e">
        <f t="shared" si="1"/>
        <v>#REF!</v>
      </c>
      <c r="E13" s="39" t="e">
        <f t="shared" si="1"/>
        <v>#REF!</v>
      </c>
      <c r="F13" s="47" t="e">
        <f>+F14+F15+F16+#REF!</f>
        <v>#REF!</v>
      </c>
      <c r="G13" s="40" t="e">
        <f>+G14+G15+G16+#REF!</f>
        <v>#REF!</v>
      </c>
      <c r="H13" s="47" t="e">
        <f>+H14+H15+H16+#REF!</f>
        <v>#REF!</v>
      </c>
      <c r="I13" s="40" t="e">
        <f>+I14+I15+I16+#REF!</f>
        <v>#REF!</v>
      </c>
      <c r="J13" s="40" t="e">
        <f>+J14+J15+J16+#REF!</f>
        <v>#REF!</v>
      </c>
      <c r="K13" s="40" t="e">
        <f>+K14+K15+K16+#REF!</f>
        <v>#REF!</v>
      </c>
      <c r="L13" s="47" t="e">
        <f>+L14+L15+L16+#REF!</f>
        <v>#REF!</v>
      </c>
      <c r="M13" s="40" t="e">
        <f>+M14+M15+M16+#REF!</f>
        <v>#REF!</v>
      </c>
      <c r="N13" s="47" t="e">
        <f>+N14+N15+N16+#REF!</f>
        <v>#REF!</v>
      </c>
      <c r="O13" s="40" t="e">
        <f>+O14+O15+O16+#REF!</f>
        <v>#REF!</v>
      </c>
      <c r="P13" s="47" t="e">
        <f>+P14+P15+P16+#REF!</f>
        <v>#REF!</v>
      </c>
      <c r="Q13" s="40" t="e">
        <f>+Q14+Q15+Q16+#REF!</f>
        <v>#REF!</v>
      </c>
      <c r="R13" s="47" t="e">
        <f>+R14+R15+R16+#REF!</f>
        <v>#REF!</v>
      </c>
      <c r="S13" s="40" t="e">
        <f>+S14+S15+S16+#REF!</f>
        <v>#REF!</v>
      </c>
      <c r="T13" s="62"/>
      <c r="V13" s="28">
        <v>4</v>
      </c>
      <c r="W13" s="75" t="s">
        <v>34</v>
      </c>
      <c r="X13" s="30">
        <f t="shared" si="2"/>
        <v>31371</v>
      </c>
      <c r="Y13" s="30"/>
      <c r="Z13" s="30"/>
      <c r="AA13" s="30"/>
      <c r="AB13" s="30">
        <v>31371</v>
      </c>
      <c r="AC13" s="30"/>
      <c r="AD13" s="30"/>
      <c r="AE13" s="30"/>
      <c r="AF13" s="30"/>
      <c r="AG13" s="30"/>
    </row>
    <row r="14" spans="1:34" s="6" customFormat="1" ht="30.75" customHeight="1">
      <c r="A14" s="32" t="s">
        <v>70</v>
      </c>
      <c r="B14" s="38" t="s">
        <v>108</v>
      </c>
      <c r="C14" s="32" t="s">
        <v>69</v>
      </c>
      <c r="D14" s="46">
        <f t="shared" si="1"/>
        <v>20.440000000000001</v>
      </c>
      <c r="E14" s="39">
        <f t="shared" si="1"/>
        <v>30660</v>
      </c>
      <c r="F14" s="47"/>
      <c r="G14" s="40">
        <f>+F14*1500</f>
        <v>0</v>
      </c>
      <c r="H14" s="46">
        <v>5.09</v>
      </c>
      <c r="I14" s="40">
        <f>+H14*1500</f>
        <v>7635</v>
      </c>
      <c r="J14" s="48">
        <f>1.26+2</f>
        <v>3.26</v>
      </c>
      <c r="K14" s="40">
        <f>+J14*1500</f>
        <v>4890</v>
      </c>
      <c r="L14" s="48">
        <f>5.36+1.02</f>
        <v>6.3800000000000008</v>
      </c>
      <c r="M14" s="40">
        <f>+L14*1500</f>
        <v>9570.0000000000018</v>
      </c>
      <c r="N14" s="48">
        <v>0.6</v>
      </c>
      <c r="O14" s="40">
        <f>+N14*1500</f>
        <v>900</v>
      </c>
      <c r="P14" s="48">
        <v>3.51</v>
      </c>
      <c r="Q14" s="40">
        <f>+P14*1500</f>
        <v>5265</v>
      </c>
      <c r="R14" s="48">
        <v>1.6</v>
      </c>
      <c r="S14" s="40">
        <f>+R14*1500</f>
        <v>2400</v>
      </c>
      <c r="T14" s="1411" t="s">
        <v>16</v>
      </c>
      <c r="V14" s="28">
        <v>5</v>
      </c>
      <c r="W14" s="75" t="s">
        <v>75</v>
      </c>
      <c r="X14" s="30">
        <f t="shared" si="2"/>
        <v>86050</v>
      </c>
      <c r="Y14" s="30">
        <v>4690</v>
      </c>
      <c r="Z14" s="30">
        <v>78360</v>
      </c>
      <c r="AA14" s="30"/>
      <c r="AB14" s="30"/>
      <c r="AC14" s="30"/>
      <c r="AD14" s="30">
        <v>3000</v>
      </c>
      <c r="AE14" s="30"/>
      <c r="AF14" s="30"/>
      <c r="AG14" s="30"/>
    </row>
    <row r="15" spans="1:34" s="6" customFormat="1" ht="30.75" customHeight="1">
      <c r="A15" s="32" t="s">
        <v>70</v>
      </c>
      <c r="B15" s="38" t="s">
        <v>109</v>
      </c>
      <c r="C15" s="32" t="s">
        <v>69</v>
      </c>
      <c r="D15" s="46">
        <f t="shared" si="1"/>
        <v>3.76</v>
      </c>
      <c r="E15" s="39">
        <f t="shared" si="1"/>
        <v>2281.1999999999998</v>
      </c>
      <c r="F15" s="47"/>
      <c r="G15" s="40">
        <f>+F15*674</f>
        <v>0</v>
      </c>
      <c r="H15" s="46">
        <v>1.26</v>
      </c>
      <c r="I15" s="40">
        <f>+H15*620</f>
        <v>781.2</v>
      </c>
      <c r="J15" s="48"/>
      <c r="K15" s="40">
        <f>+J15*600</f>
        <v>0</v>
      </c>
      <c r="L15" s="48">
        <v>2.5</v>
      </c>
      <c r="M15" s="40">
        <f>+L15*600</f>
        <v>1500</v>
      </c>
      <c r="N15" s="48"/>
      <c r="O15" s="40">
        <f>+N15*540</f>
        <v>0</v>
      </c>
      <c r="P15" s="49"/>
      <c r="Q15" s="40">
        <f>+P15*540</f>
        <v>0</v>
      </c>
      <c r="R15" s="48"/>
      <c r="S15" s="40">
        <f>+R15*535</f>
        <v>0</v>
      </c>
      <c r="T15" s="1411"/>
      <c r="V15" s="28">
        <v>6</v>
      </c>
      <c r="W15" s="75" t="s">
        <v>36</v>
      </c>
      <c r="X15" s="30" t="e">
        <f>+#REF!</f>
        <v>#REF!</v>
      </c>
      <c r="Y15" s="30">
        <v>2710</v>
      </c>
      <c r="Z15" s="30"/>
      <c r="AA15" s="30"/>
      <c r="AB15" s="30"/>
      <c r="AC15" s="30"/>
      <c r="AD15" s="30">
        <v>13910</v>
      </c>
      <c r="AE15" s="30"/>
      <c r="AF15" s="30"/>
      <c r="AG15" s="30" t="e">
        <f>+X15-Y15-AD15</f>
        <v>#REF!</v>
      </c>
    </row>
    <row r="16" spans="1:34" s="6" customFormat="1" ht="30.75" customHeight="1">
      <c r="A16" s="32" t="s">
        <v>70</v>
      </c>
      <c r="B16" s="38" t="s">
        <v>110</v>
      </c>
      <c r="C16" s="32" t="s">
        <v>69</v>
      </c>
      <c r="D16" s="46">
        <f t="shared" si="1"/>
        <v>2.06</v>
      </c>
      <c r="E16" s="39">
        <f t="shared" si="1"/>
        <v>453.2</v>
      </c>
      <c r="F16" s="47"/>
      <c r="G16" s="40">
        <f>+F16*260</f>
        <v>0</v>
      </c>
      <c r="H16" s="46"/>
      <c r="I16" s="40">
        <f>+H16*240</f>
        <v>0</v>
      </c>
      <c r="J16" s="48"/>
      <c r="K16" s="40">
        <f>+J16*220</f>
        <v>0</v>
      </c>
      <c r="L16" s="48"/>
      <c r="M16" s="40">
        <f>+L16*220</f>
        <v>0</v>
      </c>
      <c r="N16" s="48"/>
      <c r="O16" s="40">
        <f>+N16*220</f>
        <v>0</v>
      </c>
      <c r="P16" s="49">
        <v>2.06</v>
      </c>
      <c r="Q16" s="40">
        <f>+P16*220</f>
        <v>453.2</v>
      </c>
      <c r="R16" s="48"/>
      <c r="S16" s="40">
        <f>+R16*220</f>
        <v>0</v>
      </c>
      <c r="T16" s="1411"/>
      <c r="V16" s="28">
        <v>7</v>
      </c>
      <c r="W16" s="75" t="s">
        <v>38</v>
      </c>
      <c r="X16" s="30">
        <f t="shared" si="2"/>
        <v>500</v>
      </c>
      <c r="Y16" s="30"/>
      <c r="Z16" s="30"/>
      <c r="AA16" s="30"/>
      <c r="AB16" s="30"/>
      <c r="AC16" s="30"/>
      <c r="AD16" s="30">
        <v>500</v>
      </c>
      <c r="AE16" s="30"/>
      <c r="AF16" s="30"/>
      <c r="AG16" s="30"/>
    </row>
    <row r="17" spans="1:33" s="6" customFormat="1" ht="30.75" customHeight="1">
      <c r="A17" s="32">
        <v>7</v>
      </c>
      <c r="B17" s="38" t="s">
        <v>97</v>
      </c>
      <c r="C17" s="32" t="s">
        <v>65</v>
      </c>
      <c r="D17" s="39">
        <f t="shared" si="1"/>
        <v>73</v>
      </c>
      <c r="E17" s="39">
        <f t="shared" si="1"/>
        <v>3460</v>
      </c>
      <c r="F17" s="40">
        <f>F18</f>
        <v>0</v>
      </c>
      <c r="G17" s="40">
        <f>G18</f>
        <v>0</v>
      </c>
      <c r="H17" s="40">
        <f>H18</f>
        <v>14</v>
      </c>
      <c r="I17" s="40">
        <f>+I18</f>
        <v>700</v>
      </c>
      <c r="J17" s="40">
        <f>+J18</f>
        <v>17</v>
      </c>
      <c r="K17" s="40">
        <f>+K18</f>
        <v>850</v>
      </c>
      <c r="L17" s="40">
        <v>19</v>
      </c>
      <c r="M17" s="40">
        <v>760</v>
      </c>
      <c r="N17" s="40">
        <f t="shared" ref="N17:S17" si="3">+N18</f>
        <v>23</v>
      </c>
      <c r="O17" s="40">
        <f t="shared" si="3"/>
        <v>1150</v>
      </c>
      <c r="P17" s="40">
        <f t="shared" si="3"/>
        <v>0</v>
      </c>
      <c r="Q17" s="40">
        <f t="shared" si="3"/>
        <v>0</v>
      </c>
      <c r="R17" s="40">
        <f t="shared" si="3"/>
        <v>0</v>
      </c>
      <c r="S17" s="40">
        <f t="shared" si="3"/>
        <v>0</v>
      </c>
      <c r="T17" s="1411" t="s">
        <v>15</v>
      </c>
      <c r="V17" s="28">
        <v>8</v>
      </c>
      <c r="W17" s="75" t="s">
        <v>39</v>
      </c>
      <c r="X17" s="30">
        <f t="shared" si="2"/>
        <v>3700</v>
      </c>
      <c r="Y17" s="30"/>
      <c r="Z17" s="30"/>
      <c r="AA17" s="30"/>
      <c r="AB17" s="30"/>
      <c r="AC17" s="30"/>
      <c r="AD17" s="30">
        <v>3700</v>
      </c>
      <c r="AE17" s="30"/>
      <c r="AF17" s="30"/>
      <c r="AG17" s="30"/>
    </row>
    <row r="18" spans="1:33" s="6" customFormat="1" ht="30.75" customHeight="1">
      <c r="A18" s="32" t="s">
        <v>70</v>
      </c>
      <c r="B18" s="38" t="s">
        <v>88</v>
      </c>
      <c r="C18" s="32" t="s">
        <v>74</v>
      </c>
      <c r="D18" s="39">
        <f t="shared" ref="D18:E33" si="4">+F18+H18+J18+L18+N18+P18+R18</f>
        <v>74</v>
      </c>
      <c r="E18" s="39">
        <f t="shared" si="4"/>
        <v>3700</v>
      </c>
      <c r="F18" s="40"/>
      <c r="G18" s="40"/>
      <c r="H18" s="40">
        <v>14</v>
      </c>
      <c r="I18" s="40">
        <f>+H18*50</f>
        <v>700</v>
      </c>
      <c r="J18" s="40">
        <v>17</v>
      </c>
      <c r="K18" s="40">
        <f>+J18*50</f>
        <v>850</v>
      </c>
      <c r="L18" s="40">
        <v>20</v>
      </c>
      <c r="M18" s="40">
        <f>+L18*50</f>
        <v>1000</v>
      </c>
      <c r="N18" s="40">
        <v>23</v>
      </c>
      <c r="O18" s="40">
        <f>+N18*50</f>
        <v>1150</v>
      </c>
      <c r="P18" s="40"/>
      <c r="Q18" s="40"/>
      <c r="R18" s="40"/>
      <c r="S18" s="40"/>
      <c r="T18" s="1411"/>
      <c r="V18" s="28">
        <v>9</v>
      </c>
      <c r="W18" s="75" t="s">
        <v>40</v>
      </c>
      <c r="X18" s="30" t="e">
        <f t="shared" si="2"/>
        <v>#REF!</v>
      </c>
      <c r="Y18" s="30"/>
      <c r="Z18" s="30" t="e">
        <f>+#REF!</f>
        <v>#REF!</v>
      </c>
      <c r="AA18" s="30"/>
      <c r="AB18" s="30"/>
      <c r="AC18" s="30"/>
      <c r="AD18" s="30"/>
      <c r="AE18" s="30"/>
      <c r="AF18" s="30"/>
      <c r="AG18" s="30"/>
    </row>
    <row r="19" spans="1:33" s="31" customFormat="1" ht="33.75" customHeight="1">
      <c r="A19" s="32">
        <v>8</v>
      </c>
      <c r="B19" s="38" t="s">
        <v>105</v>
      </c>
      <c r="C19" s="32" t="s">
        <v>71</v>
      </c>
      <c r="D19" s="39" t="e">
        <f t="shared" si="4"/>
        <v>#REF!</v>
      </c>
      <c r="E19" s="39" t="e">
        <f t="shared" si="4"/>
        <v>#REF!</v>
      </c>
      <c r="F19" s="40" t="e">
        <f>+#REF!</f>
        <v>#REF!</v>
      </c>
      <c r="G19" s="40" t="e">
        <f>+#REF!</f>
        <v>#REF!</v>
      </c>
      <c r="H19" s="40" t="e">
        <f>+#REF!</f>
        <v>#REF!</v>
      </c>
      <c r="I19" s="40" t="e">
        <f>+#REF!</f>
        <v>#REF!</v>
      </c>
      <c r="J19" s="40" t="e">
        <f>+#REF!+#REF!</f>
        <v>#REF!</v>
      </c>
      <c r="K19" s="40" t="e">
        <f>+#REF!+#REF!</f>
        <v>#REF!</v>
      </c>
      <c r="L19" s="40" t="e">
        <f>+#REF!+#REF!</f>
        <v>#REF!</v>
      </c>
      <c r="M19" s="40" t="e">
        <f>+#REF!+#REF!</f>
        <v>#REF!</v>
      </c>
      <c r="N19" s="40" t="e">
        <f>+#REF!</f>
        <v>#REF!</v>
      </c>
      <c r="O19" s="40" t="e">
        <f>+#REF!</f>
        <v>#REF!</v>
      </c>
      <c r="P19" s="40"/>
      <c r="Q19" s="40"/>
      <c r="R19" s="40" t="e">
        <f>+#REF!</f>
        <v>#REF!</v>
      </c>
      <c r="S19" s="40" t="e">
        <f>+#REF!</f>
        <v>#REF!</v>
      </c>
      <c r="T19" s="60" t="s">
        <v>13</v>
      </c>
      <c r="V19" s="29">
        <v>10</v>
      </c>
      <c r="W19" s="75" t="s">
        <v>23</v>
      </c>
      <c r="X19" s="30" t="e">
        <f>+#REF!</f>
        <v>#REF!</v>
      </c>
      <c r="Y19" s="30">
        <v>9600</v>
      </c>
      <c r="Z19" s="30"/>
      <c r="AA19" s="30"/>
      <c r="AB19" s="30"/>
      <c r="AC19" s="30"/>
      <c r="AD19" s="30"/>
      <c r="AE19" s="30"/>
      <c r="AF19" s="30" t="e">
        <f>+X19-Y19-AG19</f>
        <v>#REF!</v>
      </c>
      <c r="AG19" s="30" t="e">
        <f>+#REF!*0.05+6590</f>
        <v>#REF!</v>
      </c>
    </row>
    <row r="20" spans="1:33" s="13" customFormat="1" ht="33.75" customHeight="1">
      <c r="A20" s="41" t="s">
        <v>80</v>
      </c>
      <c r="B20" s="42" t="s">
        <v>3</v>
      </c>
      <c r="C20" s="41" t="s">
        <v>65</v>
      </c>
      <c r="D20" s="43"/>
      <c r="E20" s="43" t="e">
        <f>+E21+#REF!</f>
        <v>#REF!</v>
      </c>
      <c r="F20" s="44"/>
      <c r="G20" s="43" t="e">
        <f>+G21+#REF!</f>
        <v>#REF!</v>
      </c>
      <c r="H20" s="44"/>
      <c r="I20" s="43" t="e">
        <f>+I21+#REF!</f>
        <v>#REF!</v>
      </c>
      <c r="J20" s="44"/>
      <c r="K20" s="43" t="e">
        <f>+K21+#REF!</f>
        <v>#REF!</v>
      </c>
      <c r="L20" s="44"/>
      <c r="M20" s="43" t="e">
        <f>+M21+#REF!</f>
        <v>#REF!</v>
      </c>
      <c r="N20" s="44"/>
      <c r="O20" s="43" t="e">
        <f>+O21+#REF!</f>
        <v>#REF!</v>
      </c>
      <c r="P20" s="44"/>
      <c r="Q20" s="43" t="e">
        <f>+Q21+#REF!</f>
        <v>#REF!</v>
      </c>
      <c r="R20" s="44"/>
      <c r="S20" s="43" t="e">
        <f>+S21+#REF!</f>
        <v>#REF!</v>
      </c>
      <c r="T20" s="61"/>
      <c r="V20" s="28">
        <v>12</v>
      </c>
      <c r="W20" s="75" t="s">
        <v>4</v>
      </c>
      <c r="X20" s="30">
        <f t="shared" si="2"/>
        <v>3947</v>
      </c>
      <c r="Y20" s="30">
        <v>3947</v>
      </c>
      <c r="Z20" s="30"/>
      <c r="AA20" s="30"/>
      <c r="AB20" s="30"/>
      <c r="AC20" s="30"/>
      <c r="AD20" s="30"/>
      <c r="AE20" s="30"/>
      <c r="AF20" s="30"/>
      <c r="AG20" s="30"/>
    </row>
    <row r="21" spans="1:33" s="31" customFormat="1" ht="30" customHeight="1">
      <c r="A21" s="32">
        <v>1</v>
      </c>
      <c r="B21" s="38" t="s">
        <v>23</v>
      </c>
      <c r="C21" s="32" t="s">
        <v>71</v>
      </c>
      <c r="D21" s="39"/>
      <c r="E21" s="39">
        <f t="shared" si="4"/>
        <v>170000</v>
      </c>
      <c r="F21" s="40"/>
      <c r="G21" s="40">
        <f>2*1000+22000</f>
        <v>24000</v>
      </c>
      <c r="H21" s="40"/>
      <c r="I21" s="40">
        <f>2*1500+22000</f>
        <v>25000</v>
      </c>
      <c r="J21" s="40"/>
      <c r="K21" s="40">
        <f>2*1500+23000</f>
        <v>26000</v>
      </c>
      <c r="L21" s="40"/>
      <c r="M21" s="40">
        <f>2*1200+27000</f>
        <v>29400</v>
      </c>
      <c r="N21" s="40"/>
      <c r="O21" s="40">
        <f>2*1600+28000</f>
        <v>31200</v>
      </c>
      <c r="P21" s="40"/>
      <c r="Q21" s="40">
        <f>2*2000+28000</f>
        <v>32000</v>
      </c>
      <c r="R21" s="40"/>
      <c r="S21" s="40">
        <f>2*1200</f>
        <v>2400</v>
      </c>
      <c r="T21" s="60" t="s">
        <v>25</v>
      </c>
      <c r="V21" s="29">
        <v>13</v>
      </c>
      <c r="W21" s="75" t="s">
        <v>83</v>
      </c>
      <c r="X21" s="30">
        <f t="shared" si="2"/>
        <v>11710</v>
      </c>
      <c r="Y21" s="30"/>
      <c r="Z21" s="30">
        <v>11710</v>
      </c>
      <c r="AA21" s="30"/>
      <c r="AB21" s="30"/>
      <c r="AC21" s="30"/>
      <c r="AD21" s="30"/>
      <c r="AE21" s="30"/>
      <c r="AF21" s="30"/>
      <c r="AG21" s="30"/>
    </row>
    <row r="22" spans="1:33" s="6" customFormat="1" ht="30" customHeight="1">
      <c r="A22" s="32">
        <v>1</v>
      </c>
      <c r="B22" s="38" t="s">
        <v>83</v>
      </c>
      <c r="C22" s="32" t="s">
        <v>65</v>
      </c>
      <c r="D22" s="39">
        <f t="shared" si="4"/>
        <v>2</v>
      </c>
      <c r="E22" s="39">
        <f t="shared" si="4"/>
        <v>11710</v>
      </c>
      <c r="F22" s="40"/>
      <c r="G22" s="40">
        <f>+SUM(G23:G24)</f>
        <v>0</v>
      </c>
      <c r="H22" s="40">
        <f>+SUM(H23:H24)</f>
        <v>0</v>
      </c>
      <c r="I22" s="40">
        <f>+SUM(I23:I24)</f>
        <v>0</v>
      </c>
      <c r="J22" s="40">
        <f>+SUM(J23:J24)</f>
        <v>1</v>
      </c>
      <c r="K22" s="40">
        <f>+SUM(K23:K24)</f>
        <v>5000</v>
      </c>
      <c r="L22" s="40"/>
      <c r="M22" s="40">
        <f>+SUM(M23:M24)</f>
        <v>2500</v>
      </c>
      <c r="N22" s="40">
        <f>+SUM(N23:N24)</f>
        <v>1</v>
      </c>
      <c r="O22" s="40">
        <f>+SUM(O23:O24)</f>
        <v>4210</v>
      </c>
      <c r="P22" s="40">
        <f>+SUM(P23:P24)</f>
        <v>0</v>
      </c>
      <c r="Q22" s="40">
        <f>+SUM(Q23:Q24)</f>
        <v>0</v>
      </c>
      <c r="R22" s="40"/>
      <c r="S22" s="40">
        <f>+SUM(S23:S24)</f>
        <v>0</v>
      </c>
      <c r="T22" s="62"/>
      <c r="V22" s="28">
        <v>14</v>
      </c>
      <c r="W22" s="75" t="s">
        <v>44</v>
      </c>
      <c r="X22" s="30" t="e">
        <f>#REF!+#REF!+#REF!+#REF!+#REF!+#REF!+#REF!+#REF!</f>
        <v>#REF!</v>
      </c>
      <c r="Y22" s="30">
        <v>1000</v>
      </c>
      <c r="Z22" s="30">
        <v>5200</v>
      </c>
      <c r="AA22" s="30"/>
      <c r="AB22" s="30"/>
      <c r="AC22" s="30">
        <v>71800</v>
      </c>
      <c r="AD22" s="30" t="e">
        <f>+X22-Y22-Z22-AC22-AG22-AF22</f>
        <v>#REF!</v>
      </c>
      <c r="AE22" s="30"/>
      <c r="AF22" s="30">
        <v>8688</v>
      </c>
      <c r="AG22" s="30">
        <v>6092</v>
      </c>
    </row>
    <row r="23" spans="1:33" s="6" customFormat="1" ht="25.5">
      <c r="A23" s="32" t="s">
        <v>81</v>
      </c>
      <c r="B23" s="38" t="s">
        <v>89</v>
      </c>
      <c r="C23" s="32" t="s">
        <v>73</v>
      </c>
      <c r="D23" s="39">
        <f t="shared" si="4"/>
        <v>3</v>
      </c>
      <c r="E23" s="39">
        <f t="shared" si="4"/>
        <v>11710</v>
      </c>
      <c r="F23" s="40"/>
      <c r="G23" s="40"/>
      <c r="H23" s="40"/>
      <c r="I23" s="40"/>
      <c r="J23" s="40">
        <v>1</v>
      </c>
      <c r="K23" s="40">
        <v>5000</v>
      </c>
      <c r="L23" s="40">
        <v>1</v>
      </c>
      <c r="M23" s="40">
        <v>2500</v>
      </c>
      <c r="N23" s="40">
        <v>1</v>
      </c>
      <c r="O23" s="40">
        <v>4210</v>
      </c>
      <c r="P23" s="40"/>
      <c r="Q23" s="40"/>
      <c r="R23" s="40"/>
      <c r="S23" s="40"/>
      <c r="T23" s="60" t="s">
        <v>13</v>
      </c>
    </row>
    <row r="24" spans="1:33" s="6" customFormat="1" ht="25.5" hidden="1">
      <c r="A24" s="32" t="s">
        <v>81</v>
      </c>
      <c r="B24" s="38" t="s">
        <v>84</v>
      </c>
      <c r="C24" s="32" t="s">
        <v>73</v>
      </c>
      <c r="D24" s="39">
        <f t="shared" si="4"/>
        <v>0</v>
      </c>
      <c r="E24" s="39">
        <f t="shared" si="4"/>
        <v>0</v>
      </c>
      <c r="F24" s="40"/>
      <c r="G24" s="40"/>
      <c r="H24" s="40"/>
      <c r="I24" s="40"/>
      <c r="J24" s="40"/>
      <c r="K24" s="40"/>
      <c r="L24" s="40"/>
      <c r="M24" s="40"/>
      <c r="N24" s="40"/>
      <c r="O24" s="40"/>
      <c r="P24" s="40"/>
      <c r="Q24" s="40"/>
      <c r="R24" s="40"/>
      <c r="S24" s="40"/>
      <c r="T24" s="62"/>
    </row>
    <row r="25" spans="1:33" s="14" customFormat="1" ht="12.75">
      <c r="A25" s="63">
        <v>2</v>
      </c>
      <c r="B25" s="64" t="s">
        <v>85</v>
      </c>
      <c r="C25" s="63" t="s">
        <v>65</v>
      </c>
      <c r="D25" s="65">
        <f t="shared" si="4"/>
        <v>0</v>
      </c>
      <c r="E25" s="65" t="e">
        <f t="shared" si="4"/>
        <v>#REF!</v>
      </c>
      <c r="F25" s="66"/>
      <c r="G25" s="66" t="e">
        <f>+SUM(G26:G33)</f>
        <v>#REF!</v>
      </c>
      <c r="H25" s="66"/>
      <c r="I25" s="66" t="e">
        <f>+SUM(I26:I33)</f>
        <v>#REF!</v>
      </c>
      <c r="J25" s="66"/>
      <c r="K25" s="66" t="e">
        <f>+SUM(K26:K33)</f>
        <v>#REF!</v>
      </c>
      <c r="L25" s="66"/>
      <c r="M25" s="66" t="e">
        <f>+SUM(M26:M33)</f>
        <v>#REF!</v>
      </c>
      <c r="N25" s="66"/>
      <c r="O25" s="66" t="e">
        <f>+SUM(O26:O33)</f>
        <v>#REF!</v>
      </c>
      <c r="P25" s="66"/>
      <c r="Q25" s="66" t="e">
        <f>+SUM(Q26:Q33)</f>
        <v>#REF!</v>
      </c>
      <c r="R25" s="66"/>
      <c r="S25" s="66" t="e">
        <f>+SUM(S26:S33)</f>
        <v>#REF!</v>
      </c>
      <c r="T25" s="67"/>
    </row>
    <row r="26" spans="1:33" s="6" customFormat="1" ht="72">
      <c r="A26" s="68" t="s">
        <v>81</v>
      </c>
      <c r="B26" s="56" t="s">
        <v>112</v>
      </c>
      <c r="C26" s="55" t="s">
        <v>71</v>
      </c>
      <c r="D26" s="57" t="e">
        <f t="shared" si="4"/>
        <v>#REF!</v>
      </c>
      <c r="E26" s="57" t="e">
        <f t="shared" si="4"/>
        <v>#REF!</v>
      </c>
      <c r="F26" s="58" t="e">
        <f>+#REF!</f>
        <v>#REF!</v>
      </c>
      <c r="G26" s="58" t="e">
        <f>+#REF!</f>
        <v>#REF!</v>
      </c>
      <c r="H26" s="58" t="e">
        <f>+#REF!+#REF!</f>
        <v>#REF!</v>
      </c>
      <c r="I26" s="58" t="e">
        <f>+#REF!+#REF!</f>
        <v>#REF!</v>
      </c>
      <c r="J26" s="58" t="e">
        <f>+#REF!+#REF!+#REF!+#REF!+#REF!</f>
        <v>#REF!</v>
      </c>
      <c r="K26" s="58" t="e">
        <f>+#REF!+#REF!+#REF!+#REF!+#REF!</f>
        <v>#REF!</v>
      </c>
      <c r="L26" s="58" t="e">
        <f>+#REF!+#REF!</f>
        <v>#REF!</v>
      </c>
      <c r="M26" s="58" t="e">
        <f>+#REF!+#REF!</f>
        <v>#REF!</v>
      </c>
      <c r="N26" s="58" t="e">
        <f>+#REF!+#REF!</f>
        <v>#REF!</v>
      </c>
      <c r="O26" s="58" t="e">
        <f>+#REF!+#REF!</f>
        <v>#REF!</v>
      </c>
      <c r="P26" s="58" t="e">
        <f>+#REF!+#REF!+#REF!</f>
        <v>#REF!</v>
      </c>
      <c r="Q26" s="58" t="e">
        <f>+#REF!+#REF!+#REF!</f>
        <v>#REF!</v>
      </c>
      <c r="R26" s="58" t="e">
        <f>+#REF!+#REF!</f>
        <v>#REF!</v>
      </c>
      <c r="S26" s="58" t="e">
        <f>+#REF!+#REF!</f>
        <v>#REF!</v>
      </c>
      <c r="T26" s="69" t="s">
        <v>17</v>
      </c>
    </row>
    <row r="27" spans="1:33" s="6" customFormat="1" ht="12.75">
      <c r="A27" s="50" t="s">
        <v>81</v>
      </c>
      <c r="B27" s="38" t="s">
        <v>113</v>
      </c>
      <c r="C27" s="32" t="s">
        <v>71</v>
      </c>
      <c r="D27" s="39">
        <f t="shared" si="4"/>
        <v>330</v>
      </c>
      <c r="E27" s="39">
        <f t="shared" si="4"/>
        <v>6336</v>
      </c>
      <c r="F27" s="40"/>
      <c r="G27" s="40">
        <f>+F27*(1.2+18)</f>
        <v>0</v>
      </c>
      <c r="H27" s="40"/>
      <c r="I27" s="40">
        <f>+H27*(1.2+18)</f>
        <v>0</v>
      </c>
      <c r="J27" s="40">
        <v>80</v>
      </c>
      <c r="K27" s="40">
        <f>+J27*(1.2+18)</f>
        <v>1536</v>
      </c>
      <c r="L27" s="40"/>
      <c r="M27" s="40">
        <f>+L27*(1.2+18)</f>
        <v>0</v>
      </c>
      <c r="N27" s="40">
        <v>250</v>
      </c>
      <c r="O27" s="40">
        <f>+N27*(1.2+18)</f>
        <v>4800</v>
      </c>
      <c r="P27" s="40"/>
      <c r="Q27" s="40">
        <f>+P27*(1.2+18)</f>
        <v>0</v>
      </c>
      <c r="R27" s="40"/>
      <c r="S27" s="40">
        <f>+R27*(1.2+18)</f>
        <v>0</v>
      </c>
      <c r="T27" s="1411" t="s">
        <v>15</v>
      </c>
    </row>
    <row r="28" spans="1:33" s="6" customFormat="1" ht="12.75">
      <c r="A28" s="50" t="s">
        <v>81</v>
      </c>
      <c r="B28" s="38" t="s">
        <v>114</v>
      </c>
      <c r="C28" s="32" t="s">
        <v>71</v>
      </c>
      <c r="D28" s="39">
        <f t="shared" si="4"/>
        <v>1016</v>
      </c>
      <c r="E28" s="39">
        <f t="shared" si="4"/>
        <v>1524</v>
      </c>
      <c r="F28" s="40"/>
      <c r="G28" s="40">
        <f>F28*1.5</f>
        <v>0</v>
      </c>
      <c r="H28" s="40">
        <v>286</v>
      </c>
      <c r="I28" s="40">
        <f>H28*1.5</f>
        <v>429</v>
      </c>
      <c r="J28" s="40">
        <v>445</v>
      </c>
      <c r="K28" s="40">
        <f>J28*1.5</f>
        <v>667.5</v>
      </c>
      <c r="L28" s="40"/>
      <c r="M28" s="40">
        <f>L28*1.5</f>
        <v>0</v>
      </c>
      <c r="N28" s="40">
        <v>285</v>
      </c>
      <c r="O28" s="40">
        <f>N28*1.5</f>
        <v>427.5</v>
      </c>
      <c r="P28" s="40"/>
      <c r="Q28" s="40">
        <f>P28*1.5</f>
        <v>0</v>
      </c>
      <c r="R28" s="40"/>
      <c r="S28" s="40">
        <f>R28*1.5</f>
        <v>0</v>
      </c>
      <c r="T28" s="1411"/>
    </row>
    <row r="29" spans="1:33" s="6" customFormat="1" ht="12.75">
      <c r="A29" s="50" t="s">
        <v>81</v>
      </c>
      <c r="B29" s="38" t="s">
        <v>115</v>
      </c>
      <c r="C29" s="32" t="s">
        <v>71</v>
      </c>
      <c r="D29" s="39">
        <f t="shared" si="4"/>
        <v>1011</v>
      </c>
      <c r="E29" s="39">
        <f t="shared" si="4"/>
        <v>5560.5</v>
      </c>
      <c r="F29" s="40"/>
      <c r="G29" s="40">
        <f>5.5*F29</f>
        <v>0</v>
      </c>
      <c r="H29" s="40">
        <v>281</v>
      </c>
      <c r="I29" s="40">
        <f>5.5*H29</f>
        <v>1545.5</v>
      </c>
      <c r="J29" s="40">
        <v>445</v>
      </c>
      <c r="K29" s="40">
        <f>5.5*J29</f>
        <v>2447.5</v>
      </c>
      <c r="L29" s="40"/>
      <c r="M29" s="40">
        <f>5.5*L29</f>
        <v>0</v>
      </c>
      <c r="N29" s="40">
        <v>285</v>
      </c>
      <c r="O29" s="40">
        <f>5.5*N29</f>
        <v>1567.5</v>
      </c>
      <c r="P29" s="40"/>
      <c r="Q29" s="40">
        <f>5.5*P29</f>
        <v>0</v>
      </c>
      <c r="R29" s="40"/>
      <c r="S29" s="40">
        <f>5.5*R29</f>
        <v>0</v>
      </c>
      <c r="T29" s="1411"/>
    </row>
    <row r="30" spans="1:33" s="6" customFormat="1" ht="12.75">
      <c r="A30" s="50" t="s">
        <v>81</v>
      </c>
      <c r="B30" s="38" t="s">
        <v>116</v>
      </c>
      <c r="C30" s="32" t="s">
        <v>71</v>
      </c>
      <c r="D30" s="39">
        <f t="shared" si="4"/>
        <v>270</v>
      </c>
      <c r="E30" s="39">
        <f t="shared" si="4"/>
        <v>1755</v>
      </c>
      <c r="F30" s="40"/>
      <c r="G30" s="40">
        <f>+F30*6.5</f>
        <v>0</v>
      </c>
      <c r="H30" s="40">
        <v>185</v>
      </c>
      <c r="I30" s="40">
        <f>+H30*6.5</f>
        <v>1202.5</v>
      </c>
      <c r="J30" s="40">
        <v>85</v>
      </c>
      <c r="K30" s="40">
        <f>+J30*6.5</f>
        <v>552.5</v>
      </c>
      <c r="L30" s="40"/>
      <c r="M30" s="40">
        <f>+L30*6.5</f>
        <v>0</v>
      </c>
      <c r="N30" s="40"/>
      <c r="O30" s="40">
        <f>+N30*6.5</f>
        <v>0</v>
      </c>
      <c r="P30" s="40"/>
      <c r="Q30" s="40">
        <f>+P30*6.5</f>
        <v>0</v>
      </c>
      <c r="R30" s="40"/>
      <c r="S30" s="40">
        <f>+R30*6.5</f>
        <v>0</v>
      </c>
      <c r="T30" s="1411"/>
    </row>
    <row r="31" spans="1:33" s="6" customFormat="1" ht="38.25">
      <c r="A31" s="50" t="s">
        <v>81</v>
      </c>
      <c r="B31" s="38" t="s">
        <v>18</v>
      </c>
      <c r="C31" s="32" t="s">
        <v>79</v>
      </c>
      <c r="D31" s="39">
        <f t="shared" si="4"/>
        <v>1</v>
      </c>
      <c r="E31" s="39">
        <f t="shared" si="4"/>
        <v>200</v>
      </c>
      <c r="F31" s="40"/>
      <c r="G31" s="40"/>
      <c r="H31" s="40"/>
      <c r="I31" s="40">
        <f>+H31*200</f>
        <v>0</v>
      </c>
      <c r="J31" s="40">
        <v>1</v>
      </c>
      <c r="K31" s="40">
        <f>+J31*200</f>
        <v>200</v>
      </c>
      <c r="L31" s="40"/>
      <c r="M31" s="40">
        <f>+L31*200</f>
        <v>0</v>
      </c>
      <c r="N31" s="40"/>
      <c r="O31" s="40">
        <f>+N31*200</f>
        <v>0</v>
      </c>
      <c r="P31" s="40"/>
      <c r="Q31" s="40">
        <f>+P31*200</f>
        <v>0</v>
      </c>
      <c r="R31" s="40"/>
      <c r="S31" s="40">
        <f>+R31*200</f>
        <v>0</v>
      </c>
      <c r="T31" s="1411"/>
    </row>
    <row r="32" spans="1:33" s="6" customFormat="1" ht="25.5">
      <c r="A32" s="50" t="s">
        <v>81</v>
      </c>
      <c r="B32" s="38" t="s">
        <v>117</v>
      </c>
      <c r="C32" s="32" t="s">
        <v>86</v>
      </c>
      <c r="D32" s="39">
        <f t="shared" si="4"/>
        <v>3</v>
      </c>
      <c r="E32" s="39">
        <f t="shared" si="4"/>
        <v>900</v>
      </c>
      <c r="F32" s="40"/>
      <c r="G32" s="40">
        <f>+F32*300</f>
        <v>0</v>
      </c>
      <c r="H32" s="40">
        <v>1</v>
      </c>
      <c r="I32" s="40">
        <f>+H32*300</f>
        <v>300</v>
      </c>
      <c r="J32" s="40">
        <v>1</v>
      </c>
      <c r="K32" s="40">
        <f>+J32*300</f>
        <v>300</v>
      </c>
      <c r="L32" s="40">
        <v>1</v>
      </c>
      <c r="M32" s="40">
        <f>+L32*300</f>
        <v>300</v>
      </c>
      <c r="N32" s="40"/>
      <c r="O32" s="40">
        <f>+N32*300</f>
        <v>0</v>
      </c>
      <c r="P32" s="40"/>
      <c r="Q32" s="40">
        <f>+P32*300</f>
        <v>0</v>
      </c>
      <c r="R32" s="40"/>
      <c r="S32" s="40">
        <f>+R32*300</f>
        <v>0</v>
      </c>
      <c r="T32" s="1411"/>
    </row>
    <row r="33" spans="1:20" s="6" customFormat="1" ht="24">
      <c r="A33" s="51" t="s">
        <v>81</v>
      </c>
      <c r="B33" s="52" t="s">
        <v>118</v>
      </c>
      <c r="C33" s="53" t="s">
        <v>104</v>
      </c>
      <c r="D33" s="54">
        <f t="shared" si="4"/>
        <v>3</v>
      </c>
      <c r="E33" s="54">
        <f t="shared" si="4"/>
        <v>600</v>
      </c>
      <c r="F33" s="52"/>
      <c r="G33" s="52">
        <f>+F33*200</f>
        <v>0</v>
      </c>
      <c r="H33" s="52"/>
      <c r="I33" s="52">
        <f>+H33*200</f>
        <v>0</v>
      </c>
      <c r="J33" s="52">
        <v>1</v>
      </c>
      <c r="K33" s="52">
        <f>+J33*200</f>
        <v>200</v>
      </c>
      <c r="L33" s="52">
        <v>1</v>
      </c>
      <c r="M33" s="52">
        <f>+L33*200</f>
        <v>200</v>
      </c>
      <c r="N33" s="52"/>
      <c r="O33" s="52">
        <f>+N33*200</f>
        <v>0</v>
      </c>
      <c r="P33" s="52"/>
      <c r="Q33" s="52">
        <f>+P33*200</f>
        <v>0</v>
      </c>
      <c r="R33" s="52">
        <v>1</v>
      </c>
      <c r="S33" s="52">
        <f>+R33*200</f>
        <v>200</v>
      </c>
      <c r="T33" s="1412"/>
    </row>
  </sheetData>
  <mergeCells count="35">
    <mergeCell ref="A1:B1"/>
    <mergeCell ref="A2:S2"/>
    <mergeCell ref="A3:S3"/>
    <mergeCell ref="Q4:S4"/>
    <mergeCell ref="H7:I7"/>
    <mergeCell ref="J7:K7"/>
    <mergeCell ref="L7:M7"/>
    <mergeCell ref="A5:A8"/>
    <mergeCell ref="B5:B8"/>
    <mergeCell ref="C5:C8"/>
    <mergeCell ref="F7:G7"/>
    <mergeCell ref="D5:D8"/>
    <mergeCell ref="E5:E8"/>
    <mergeCell ref="F5:S5"/>
    <mergeCell ref="N7:O7"/>
    <mergeCell ref="P7:Q7"/>
    <mergeCell ref="R7:S7"/>
    <mergeCell ref="T17:T18"/>
    <mergeCell ref="T27:T33"/>
    <mergeCell ref="T5:T8"/>
    <mergeCell ref="AE7:AE8"/>
    <mergeCell ref="AD7:AD8"/>
    <mergeCell ref="AB7:AB8"/>
    <mergeCell ref="Z7:Z8"/>
    <mergeCell ref="T14:T16"/>
    <mergeCell ref="AG7:AG8"/>
    <mergeCell ref="AF7:AF8"/>
    <mergeCell ref="AC7:AC8"/>
    <mergeCell ref="V5:AG5"/>
    <mergeCell ref="X7:X8"/>
    <mergeCell ref="V7:V8"/>
    <mergeCell ref="W7:W8"/>
    <mergeCell ref="AF6:AG6"/>
    <mergeCell ref="Y7:Y8"/>
    <mergeCell ref="AA7:AA8"/>
  </mergeCells>
  <phoneticPr fontId="0" type="noConversion"/>
  <pageMargins left="0.24" right="0.16" top="0.41" bottom="0.39" header="0.2" footer="0.2"/>
  <pageSetup paperSize="9" orientation="landscape" r:id="rId1"/>
  <headerFooter alignWithMargins="0">
    <oddFooter xml:space="preserve">&amp;CPage &amp;P </oddFooter>
  </headerFooter>
</worksheet>
</file>

<file path=xl/worksheets/sheet5.xml><?xml version="1.0" encoding="utf-8"?>
<worksheet xmlns="http://schemas.openxmlformats.org/spreadsheetml/2006/main" xmlns:r="http://schemas.openxmlformats.org/officeDocument/2006/relationships">
  <sheetPr codeName="Sheet7"/>
  <dimension ref="A1:T31"/>
  <sheetViews>
    <sheetView zoomScaleNormal="100" workbookViewId="0">
      <pane xSplit="2" ySplit="7" topLeftCell="C8" activePane="bottomRight" state="frozen"/>
      <selection activeCell="C10" sqref="C10"/>
      <selection pane="topRight" activeCell="C10" sqref="C10"/>
      <selection pane="bottomLeft" activeCell="C10" sqref="C10"/>
      <selection pane="bottomRight" activeCell="F13" sqref="F13"/>
    </sheetView>
  </sheetViews>
  <sheetFormatPr defaultColWidth="9" defaultRowHeight="15"/>
  <cols>
    <col min="1" max="1" width="3.5" style="10" customWidth="1"/>
    <col min="2" max="2" width="43.75" style="9" customWidth="1"/>
    <col min="3" max="3" width="9.375" style="10" customWidth="1"/>
    <col min="4" max="4" width="5.875" style="11" customWidth="1"/>
    <col min="5" max="5" width="8.375" style="12" customWidth="1"/>
    <col min="6" max="6" width="6.5" style="12" customWidth="1"/>
    <col min="7" max="7" width="8.375" style="12" customWidth="1"/>
    <col min="8" max="8" width="5.625" style="12" customWidth="1"/>
    <col min="9" max="9" width="8.375" style="12" customWidth="1"/>
    <col min="10" max="10" width="5.375" style="12" customWidth="1"/>
    <col min="11" max="11" width="8.375" style="12" customWidth="1"/>
    <col min="12" max="12" width="5.25" style="12" customWidth="1"/>
    <col min="13" max="13" width="8.375" style="12" customWidth="1"/>
    <col min="14" max="14" width="5.25" style="12" customWidth="1"/>
    <col min="15" max="15" width="8.375" style="12" customWidth="1"/>
    <col min="16" max="16" width="5.25" style="12" customWidth="1"/>
    <col min="17" max="17" width="7.25" style="12" customWidth="1"/>
    <col min="18" max="18" width="5.25" style="12" customWidth="1"/>
    <col min="19" max="16384" width="9" style="9"/>
  </cols>
  <sheetData>
    <row r="1" spans="1:20" s="4" customFormat="1" ht="15.75">
      <c r="A1" s="1416" t="s">
        <v>1167</v>
      </c>
      <c r="B1" s="1416"/>
      <c r="C1" s="3"/>
      <c r="D1" s="7"/>
      <c r="E1" s="8"/>
      <c r="F1" s="8"/>
      <c r="G1" s="8"/>
      <c r="H1" s="8"/>
      <c r="I1" s="8"/>
      <c r="J1" s="8"/>
      <c r="K1" s="8"/>
      <c r="L1" s="8"/>
      <c r="M1" s="8"/>
      <c r="N1" s="8"/>
      <c r="O1" s="8"/>
      <c r="P1" s="8"/>
      <c r="Q1" s="8"/>
      <c r="R1" s="8"/>
    </row>
    <row r="2" spans="1:20" s="4" customFormat="1" ht="33" customHeight="1">
      <c r="A2" s="1417" t="s">
        <v>1147</v>
      </c>
      <c r="B2" s="1417"/>
      <c r="C2" s="1417"/>
      <c r="D2" s="1417"/>
      <c r="E2" s="1417"/>
      <c r="F2" s="1417"/>
      <c r="G2" s="1417"/>
      <c r="H2" s="1417"/>
      <c r="I2" s="1417"/>
      <c r="J2" s="1417"/>
      <c r="K2" s="1417"/>
      <c r="L2" s="1417"/>
      <c r="M2" s="1417"/>
      <c r="N2" s="1417"/>
      <c r="O2" s="1417"/>
      <c r="P2" s="1417"/>
      <c r="Q2" s="1417"/>
      <c r="R2" s="1417"/>
    </row>
    <row r="3" spans="1:20" s="4" customFormat="1" ht="16.5" customHeight="1">
      <c r="A3" s="1418" t="str">
        <f>'Biểu 1 Chi tiết'!A3:T3</f>
        <v>(Kèm theo Kế hoạch số  84-KH-UBND ngày 17/4/2023 của Ủy ban nhân dân tỉnh Tuyên Quang)</v>
      </c>
      <c r="B3" s="1418"/>
      <c r="C3" s="1418"/>
      <c r="D3" s="1418"/>
      <c r="E3" s="1418"/>
      <c r="F3" s="1418"/>
      <c r="G3" s="1418"/>
      <c r="H3" s="1418"/>
      <c r="I3" s="1418"/>
      <c r="J3" s="1418"/>
      <c r="K3" s="1418"/>
      <c r="L3" s="1418"/>
      <c r="M3" s="1418"/>
      <c r="N3" s="1418"/>
      <c r="O3" s="1418"/>
      <c r="P3" s="1418"/>
      <c r="Q3" s="1418"/>
      <c r="R3" s="1418"/>
    </row>
    <row r="4" spans="1:20" s="4" customFormat="1" ht="16.5" customHeight="1">
      <c r="A4" s="19"/>
      <c r="B4" s="19"/>
      <c r="C4" s="19"/>
      <c r="D4" s="19"/>
      <c r="E4" s="19"/>
      <c r="F4" s="20"/>
      <c r="G4" s="19"/>
      <c r="H4" s="19"/>
      <c r="I4" s="19"/>
      <c r="J4" s="19"/>
      <c r="K4" s="19"/>
      <c r="L4" s="19"/>
      <c r="M4" s="19"/>
      <c r="N4" s="19"/>
      <c r="O4" s="19"/>
      <c r="P4" s="1419" t="s">
        <v>90</v>
      </c>
      <c r="Q4" s="1419"/>
      <c r="R4" s="1419"/>
    </row>
    <row r="5" spans="1:20" s="1291" customFormat="1" ht="16.5" customHeight="1">
      <c r="A5" s="1410" t="s">
        <v>61</v>
      </c>
      <c r="B5" s="1410" t="s">
        <v>1234</v>
      </c>
      <c r="C5" s="1424" t="s">
        <v>119</v>
      </c>
      <c r="D5" s="1425"/>
      <c r="E5" s="1421" t="s">
        <v>1170</v>
      </c>
      <c r="F5" s="1422"/>
      <c r="G5" s="1422"/>
      <c r="H5" s="1422"/>
      <c r="I5" s="1422"/>
      <c r="J5" s="1422"/>
      <c r="K5" s="1422"/>
      <c r="L5" s="1422"/>
      <c r="M5" s="1422"/>
      <c r="N5" s="1422"/>
      <c r="O5" s="1422"/>
      <c r="P5" s="1422"/>
      <c r="Q5" s="1422"/>
      <c r="R5" s="1423"/>
    </row>
    <row r="6" spans="1:20" s="1291" customFormat="1" ht="24.75" customHeight="1">
      <c r="A6" s="1410"/>
      <c r="B6" s="1410"/>
      <c r="C6" s="1426"/>
      <c r="D6" s="1427"/>
      <c r="E6" s="1410" t="s">
        <v>102</v>
      </c>
      <c r="F6" s="1410"/>
      <c r="G6" s="1410" t="s">
        <v>145</v>
      </c>
      <c r="H6" s="1410"/>
      <c r="I6" s="1410" t="s">
        <v>98</v>
      </c>
      <c r="J6" s="1410"/>
      <c r="K6" s="1410" t="s">
        <v>99</v>
      </c>
      <c r="L6" s="1410"/>
      <c r="M6" s="1410" t="s">
        <v>100</v>
      </c>
      <c r="N6" s="1410"/>
      <c r="O6" s="1410" t="s">
        <v>101</v>
      </c>
      <c r="P6" s="1410"/>
      <c r="Q6" s="1410" t="s">
        <v>144</v>
      </c>
      <c r="R6" s="1410"/>
    </row>
    <row r="7" spans="1:20" s="1291" customFormat="1" ht="33.75" customHeight="1">
      <c r="A7" s="1410"/>
      <c r="B7" s="1410"/>
      <c r="C7" s="1293" t="s">
        <v>91</v>
      </c>
      <c r="D7" s="1293" t="s">
        <v>129</v>
      </c>
      <c r="E7" s="1293" t="s">
        <v>91</v>
      </c>
      <c r="F7" s="1293" t="s">
        <v>129</v>
      </c>
      <c r="G7" s="1293" t="s">
        <v>91</v>
      </c>
      <c r="H7" s="1293" t="s">
        <v>129</v>
      </c>
      <c r="I7" s="1293" t="s">
        <v>91</v>
      </c>
      <c r="J7" s="1293" t="s">
        <v>129</v>
      </c>
      <c r="K7" s="1293" t="s">
        <v>91</v>
      </c>
      <c r="L7" s="1293" t="s">
        <v>129</v>
      </c>
      <c r="M7" s="1293" t="s">
        <v>91</v>
      </c>
      <c r="N7" s="1293" t="s">
        <v>129</v>
      </c>
      <c r="O7" s="1293" t="s">
        <v>91</v>
      </c>
      <c r="P7" s="1293" t="s">
        <v>129</v>
      </c>
      <c r="Q7" s="1293" t="s">
        <v>91</v>
      </c>
      <c r="R7" s="1293" t="s">
        <v>129</v>
      </c>
    </row>
    <row r="8" spans="1:20" s="1292" customFormat="1" ht="20.25" customHeight="1">
      <c r="A8" s="1294"/>
      <c r="B8" s="1294" t="s">
        <v>121</v>
      </c>
      <c r="C8" s="21">
        <f>+E8+G8+I8+K8+M8+O8+Q8</f>
        <v>3534871.7382450146</v>
      </c>
      <c r="D8" s="23">
        <f>+C8/$C$8*100</f>
        <v>100</v>
      </c>
      <c r="E8" s="21">
        <f>'Biểu 1 Chi tiết'!G9</f>
        <v>268917.63837333943</v>
      </c>
      <c r="F8" s="23">
        <f>+E8/E8*100</f>
        <v>100</v>
      </c>
      <c r="G8" s="21">
        <f>'Biểu 1 Chi tiết'!I9</f>
        <v>298043.01168664254</v>
      </c>
      <c r="H8" s="23">
        <f>+G8/G8*100</f>
        <v>100</v>
      </c>
      <c r="I8" s="21">
        <f>'Biểu 1 Chi tiết'!K9</f>
        <v>507628.89705029025</v>
      </c>
      <c r="J8" s="23">
        <f>+I8/I8*100</f>
        <v>100</v>
      </c>
      <c r="K8" s="21">
        <f>'Biểu 1 Chi tiết'!M9</f>
        <v>723408.85399740981</v>
      </c>
      <c r="L8" s="23">
        <f>+K8/K8*100</f>
        <v>100</v>
      </c>
      <c r="M8" s="21">
        <f>'Biểu 1 Chi tiết'!O9</f>
        <v>564282.48935138574</v>
      </c>
      <c r="N8" s="23">
        <f>+M8/M8*100</f>
        <v>100</v>
      </c>
      <c r="O8" s="21">
        <f>'Biểu 1 Chi tiết'!Q9</f>
        <v>1082744.0425866162</v>
      </c>
      <c r="P8" s="23">
        <f>+O8/O8*100</f>
        <v>100</v>
      </c>
      <c r="Q8" s="21">
        <f>'Biểu 1 Chi tiết'!S9</f>
        <v>89846.805199330614</v>
      </c>
      <c r="R8" s="23">
        <f>+Q8/Q8*100</f>
        <v>100</v>
      </c>
    </row>
    <row r="9" spans="1:20" s="1292" customFormat="1" ht="20.25" customHeight="1">
      <c r="A9" s="1295">
        <v>1</v>
      </c>
      <c r="B9" s="1296" t="s">
        <v>206</v>
      </c>
      <c r="C9" s="105">
        <f>+E9+G9+I9+K9+M9+O9+Q9</f>
        <v>1744383.7446626786</v>
      </c>
      <c r="D9" s="106">
        <f>+C9/$C$8*100</f>
        <v>49.347865321097231</v>
      </c>
      <c r="E9" s="105">
        <f>+E10+E22</f>
        <v>170002.12050000002</v>
      </c>
      <c r="F9" s="106">
        <f>+E9/E8*100</f>
        <v>63.217169958924522</v>
      </c>
      <c r="G9" s="105">
        <f>+G10+G22</f>
        <v>194640.20699999999</v>
      </c>
      <c r="H9" s="106">
        <f>+G9/G8*100</f>
        <v>65.306079783088975</v>
      </c>
      <c r="I9" s="105">
        <f>+I10+I22</f>
        <v>264004.973</v>
      </c>
      <c r="J9" s="106">
        <f>+I9/I8*100</f>
        <v>52.00747525093027</v>
      </c>
      <c r="K9" s="105">
        <f>+K10+K22</f>
        <v>521327.04700000002</v>
      </c>
      <c r="L9" s="106">
        <f>+K9/K8*100</f>
        <v>72.0653395544239</v>
      </c>
      <c r="M9" s="105">
        <f>+M10+M22</f>
        <v>255609.48200000002</v>
      </c>
      <c r="N9" s="106">
        <f>+M9/M8*100</f>
        <v>45.298141768285284</v>
      </c>
      <c r="O9" s="105">
        <f>+O10+O22</f>
        <v>316415.63565221755</v>
      </c>
      <c r="P9" s="106">
        <f>+O9/O8*100</f>
        <v>29.223493568832566</v>
      </c>
      <c r="Q9" s="105">
        <f>+Q10+Q22</f>
        <v>22384.279510460823</v>
      </c>
      <c r="R9" s="106">
        <f>+Q9/Q8*100</f>
        <v>24.913829112565477</v>
      </c>
    </row>
    <row r="10" spans="1:20" s="1292" customFormat="1" ht="20.25" customHeight="1">
      <c r="A10" s="32" t="s">
        <v>122</v>
      </c>
      <c r="B10" s="1297" t="s">
        <v>123</v>
      </c>
      <c r="C10" s="107">
        <f>+E10+G10+I10+K10+M10+O10+Q10</f>
        <v>1484962.0446626784</v>
      </c>
      <c r="D10" s="48">
        <f>+C10/$C$9*100</f>
        <v>85.128174875869064</v>
      </c>
      <c r="E10" s="107">
        <f>E11+E12+E13+E14+E15+E16+E17+E18+E19+E21+E20</f>
        <v>131239.0405</v>
      </c>
      <c r="F10" s="48">
        <f>+E10/E9*100</f>
        <v>77.198472650816129</v>
      </c>
      <c r="G10" s="107">
        <f>G11+G12+G13+G14+G15+G16+G17+G18+G19+G21+G20</f>
        <v>158490.215</v>
      </c>
      <c r="H10" s="48">
        <f>+G10/G9*100</f>
        <v>81.42727417054175</v>
      </c>
      <c r="I10" s="107">
        <f>I11+I12+I13+I14+I15+I16+I17+I18+I19+I21+I20</f>
        <v>208036.09500000003</v>
      </c>
      <c r="J10" s="48">
        <f>+I10/I9*100</f>
        <v>78.800066769954384</v>
      </c>
      <c r="K10" s="107">
        <f>K11+K12+K13+K14+K15+K16+K17+K18+K19+K21+K20</f>
        <v>489556.54700000002</v>
      </c>
      <c r="L10" s="48">
        <f>+K10/K9*100</f>
        <v>93.905840837757253</v>
      </c>
      <c r="M10" s="107">
        <f>M11+M12+M13+M14+M15+M16+M17+M18+M19+M21+M20</f>
        <v>213619.48200000002</v>
      </c>
      <c r="N10" s="48">
        <f>+M10/M9*100</f>
        <v>83.572596888248469</v>
      </c>
      <c r="O10" s="107">
        <f>O11+O12+O13+O14+O15+O16+O17+O18+O19+O21+O20</f>
        <v>269538.38565221755</v>
      </c>
      <c r="P10" s="48">
        <f>+O10/O9*100</f>
        <v>85.184913538367539</v>
      </c>
      <c r="Q10" s="107">
        <f>Q11+Q12+Q13+Q14+Q15+Q16+Q17+Q18+Q19+Q21+Q20</f>
        <v>14482.279510460823</v>
      </c>
      <c r="R10" s="48">
        <f>+Q10/Q9*100</f>
        <v>64.698439383286086</v>
      </c>
    </row>
    <row r="11" spans="1:20" s="1292" customFormat="1" ht="30" customHeight="1">
      <c r="A11" s="32"/>
      <c r="B11" s="1297" t="s">
        <v>1150</v>
      </c>
      <c r="C11" s="107">
        <f>E11+G11+I11+K11+M11+O11+Q11</f>
        <v>286807</v>
      </c>
      <c r="D11" s="48">
        <f>C11/C10*100</f>
        <v>19.314096345482731</v>
      </c>
      <c r="E11" s="48">
        <f>'Biểu 1 Chi tiết'!G12</f>
        <v>42125</v>
      </c>
      <c r="F11" s="1377">
        <f>E11/E10*100</f>
        <v>32.097918301985757</v>
      </c>
      <c r="G11" s="48">
        <f>+'Biểu 1 Chi tiết'!I32+'Biểu 1 Chi tiết'!I40+'Biểu 1 Chi tiết'!I46+'Biểu 1 Chi tiết'!I59+'Biểu 1 Chi tiết'!I62+'Biểu 1 Chi tiết'!I72+'Biểu 1 Chi tiết'!I91+'Biểu 1 Chi tiết'!I101+'Biểu 1 Chi tiết'!I111+'Biểu 1 Chi tiết'!I134+'Biểu 1 Chi tiết'!I144+'Biểu 1 Chi tiết'!I150+'Biểu 1 Chi tiết'!I166+'Biểu 1 Chi tiết'!I191+'Biểu 1 Chi tiết'!I215</f>
        <v>43803</v>
      </c>
      <c r="H11" s="48">
        <f>G11/G10*100</f>
        <v>27.637668357002354</v>
      </c>
      <c r="I11" s="48">
        <f>+'Biểu 1 Chi tiết'!K32+'Biểu 1 Chi tiết'!K40+'Biểu 1 Chi tiết'!K46+'Biểu 1 Chi tiết'!K59+'Biểu 1 Chi tiết'!K62+'Biểu 1 Chi tiết'!K72+'Biểu 1 Chi tiết'!K91+'Biểu 1 Chi tiết'!K101+'Biểu 1 Chi tiết'!K111+'Biểu 1 Chi tiết'!K134+'Biểu 1 Chi tiết'!K144+'Biểu 1 Chi tiết'!K150+'Biểu 1 Chi tiết'!K166+'Biểu 1 Chi tiết'!K191+'Biểu 1 Chi tiết'!K215</f>
        <v>68819</v>
      </c>
      <c r="J11" s="48">
        <f>I11/I10*100</f>
        <v>33.080317144003303</v>
      </c>
      <c r="K11" s="48">
        <f>+'Biểu 1 Chi tiết'!M32+'Biểu 1 Chi tiết'!M40+'Biểu 1 Chi tiết'!M46+'Biểu 1 Chi tiết'!M59+'Biểu 1 Chi tiết'!M62+'Biểu 1 Chi tiết'!M72+'Biểu 1 Chi tiết'!M91+'Biểu 1 Chi tiết'!M101+'Biểu 1 Chi tiết'!M111+'Biểu 1 Chi tiết'!M134+'Biểu 1 Chi tiết'!M144+'Biểu 1 Chi tiết'!M150+'Biểu 1 Chi tiết'!M166+'Biểu 1 Chi tiết'!M191+'Biểu 1 Chi tiết'!M215</f>
        <v>52171</v>
      </c>
      <c r="L11" s="48">
        <f>K11/K10*100</f>
        <v>10.656787314908485</v>
      </c>
      <c r="M11" s="48">
        <f>+'Biểu 1 Chi tiết'!O32+'Biểu 1 Chi tiết'!O40+'Biểu 1 Chi tiết'!O46+'Biểu 1 Chi tiết'!O59+'Biểu 1 Chi tiết'!O62+'Biểu 1 Chi tiết'!O72+'Biểu 1 Chi tiết'!O91+'Biểu 1 Chi tiết'!O101+'Biểu 1 Chi tiết'!O111+'Biểu 1 Chi tiết'!O134+'Biểu 1 Chi tiết'!O144+'Biểu 1 Chi tiết'!O150+'Biểu 1 Chi tiết'!O166+'Biểu 1 Chi tiết'!O191+'Biểu 1 Chi tiết'!O215</f>
        <v>58403</v>
      </c>
      <c r="N11" s="48">
        <f>M11/M10*100</f>
        <v>27.339734865568111</v>
      </c>
      <c r="O11" s="48">
        <f>+'Biểu 1 Chi tiết'!Q32+'Biểu 1 Chi tiết'!Q40+'Biểu 1 Chi tiết'!Q46+'Biểu 1 Chi tiết'!Q59+'Biểu 1 Chi tiết'!Q62+'Biểu 1 Chi tiết'!Q72+'Biểu 1 Chi tiết'!Q91+'Biểu 1 Chi tiết'!Q101+'Biểu 1 Chi tiết'!Q111+'Biểu 1 Chi tiết'!Q134+'Biểu 1 Chi tiết'!Q144+'Biểu 1 Chi tiết'!Q150+'Biểu 1 Chi tiết'!Q166+'Biểu 1 Chi tiết'!Q191+'Biểu 1 Chi tiết'!Q215</f>
        <v>21486</v>
      </c>
      <c r="P11" s="48">
        <f>O11/O10*100</f>
        <v>7.9714063538701874</v>
      </c>
      <c r="Q11" s="48">
        <f>+'Biểu 1 Chi tiết'!S32+'Biểu 1 Chi tiết'!S40+'Biểu 1 Chi tiết'!S46+'Biểu 1 Chi tiết'!S59+'Biểu 1 Chi tiết'!S62+'Biểu 1 Chi tiết'!S72+'Biểu 1 Chi tiết'!S91+'Biểu 1 Chi tiết'!S101+'Biểu 1 Chi tiết'!S111+'Biểu 1 Chi tiết'!S134+'Biểu 1 Chi tiết'!S144+'Biểu 1 Chi tiết'!S150+'Biểu 1 Chi tiết'!S166+'Biểu 1 Chi tiết'!S191+'Biểu 1 Chi tiết'!S215</f>
        <v>0</v>
      </c>
      <c r="R11" s="48"/>
    </row>
    <row r="12" spans="1:20" s="1292" customFormat="1" ht="21" customHeight="1">
      <c r="A12" s="32"/>
      <c r="B12" s="1297" t="s">
        <v>460</v>
      </c>
      <c r="C12" s="107">
        <f>E12+G12+I12+K12+M12+O12+Q12</f>
        <v>89018</v>
      </c>
      <c r="D12" s="48">
        <f>C12/C10*100</f>
        <v>5.9946313321577991</v>
      </c>
      <c r="E12" s="48">
        <f>'Biểu 1 Chi tiết'!G39+'Biểu 1 Chi tiết'!G57+'Biểu 1 Chi tiết'!G66+'Biểu 1 Chi tiết'!G71+'Biểu 1 Chi tiết'!G110+'Biểu 1 Chi tiết'!G160+'Biểu 1 Chi tiết'!G214</f>
        <v>44559</v>
      </c>
      <c r="F12" s="1378"/>
      <c r="G12" s="107">
        <f>'Biểu 1 Chi tiết'!I39+'Biểu 1 Chi tiết'!I57+'Biểu 1 Chi tiết'!I85+'Biểu 1 Chi tiết'!I90+'Biểu 1 Chi tiết'!I100+'Biểu 1 Chi tiết'!I117+'Biểu 1 Chi tiết'!I214+'Biểu 1 Chi tiết'!I223+'Biểu 1 Chi tiết'!I245</f>
        <v>44459</v>
      </c>
      <c r="H12" s="48"/>
      <c r="I12" s="107"/>
      <c r="J12" s="48"/>
      <c r="K12" s="107"/>
      <c r="L12" s="48"/>
      <c r="M12" s="107"/>
      <c r="N12" s="48"/>
      <c r="O12" s="107"/>
      <c r="P12" s="48"/>
      <c r="Q12" s="107"/>
      <c r="R12" s="48"/>
    </row>
    <row r="13" spans="1:20" s="1292" customFormat="1" ht="20.25" customHeight="1">
      <c r="A13" s="32"/>
      <c r="B13" s="1297" t="s">
        <v>459</v>
      </c>
      <c r="C13" s="107">
        <f>E13+G13+I13+K13+M13+O13+Q13</f>
        <v>89826</v>
      </c>
      <c r="D13" s="48">
        <f>C13/C10*100</f>
        <v>6.049043497297248</v>
      </c>
      <c r="E13" s="107">
        <f>'Biểu 1 Chi tiết'!G70</f>
        <v>3046</v>
      </c>
      <c r="F13" s="1378"/>
      <c r="G13" s="107">
        <f>'Biểu 1 Chi tiết'!I45+'Biểu 1 Chi tiết'!I70</f>
        <v>4311.1000000000004</v>
      </c>
      <c r="H13" s="48"/>
      <c r="I13" s="107">
        <f>'Biểu 1 Chi tiết'!K38+'Biểu 1 Chi tiết'!K45+'Biểu 1 Chi tiết'!K70+'Biểu 1 Chi tiết'!K89+'Biểu 1 Chi tiết'!K99+'Biểu 1 Chi tiết'!K109+'Biểu 1 Chi tiết'!K213</f>
        <v>12441.6</v>
      </c>
      <c r="J13" s="48">
        <f>I13/I10*100</f>
        <v>5.9805006434099806</v>
      </c>
      <c r="K13" s="107">
        <f>'Biểu 1 Chi tiết'!M120+'Biểu 1 Chi tiết'!M126+'Biểu 1 Chi tiết'!M129+'Biểu 1 Chi tiết'!M253+'Biểu 1 Chi tiết'!M172+'Biểu 1 Chi tiết'!M244+'Biểu 1 Chi tiết'!M163+'Biểu 1 Chi tiết'!M174</f>
        <v>23793.200000000001</v>
      </c>
      <c r="L13" s="48">
        <f>K13/K10*100</f>
        <v>4.8601535707784134</v>
      </c>
      <c r="M13" s="107">
        <f>'Biểu 1 Chi tiết'!O38+'Biểu 1 Chi tiết'!O58+'Biểu 1 Chi tiết'!O70+'Biểu 1 Chi tiết'!O89+'Biểu 1 Chi tiết'!O99+'Biểu 1 Chi tiết'!O109</f>
        <v>10271.799999999999</v>
      </c>
      <c r="N13" s="48">
        <f>M13/M10*100</f>
        <v>4.808456562028363</v>
      </c>
      <c r="O13" s="107">
        <f>'Biểu 1 Chi tiết'!Q38+'Biểu 1 Chi tiết'!Q45+'Biểu 1 Chi tiết'!Q70+'Biểu 1 Chi tiết'!Q89+'Biểu 1 Chi tiết'!Q99+'Biểu 1 Chi tiết'!Q109+'Biểu 1 Chi tiết'!Q133+'Biểu 1 Chi tiết'!Q146+'Biểu 1 Chi tiết'!Q157+'Biểu 1 Chi tiết'!Q258</f>
        <v>33111.5</v>
      </c>
      <c r="P13" s="48">
        <f>O13/O10*100</f>
        <v>12.284521152665583</v>
      </c>
      <c r="Q13" s="107">
        <f>'Biểu 1 Chi tiết'!S89+'Biểu 1 Chi tiết'!S99</f>
        <v>2850.8</v>
      </c>
      <c r="R13" s="48">
        <f>Q13/Q10*100</f>
        <v>19.6847464374708</v>
      </c>
    </row>
    <row r="14" spans="1:20" s="1292" customFormat="1" ht="33" customHeight="1">
      <c r="A14" s="32" t="s">
        <v>70</v>
      </c>
      <c r="B14" s="1297" t="s">
        <v>1175</v>
      </c>
      <c r="C14" s="107">
        <f>+E14+G14+I14+K14+M14+O14+Q14</f>
        <v>120481</v>
      </c>
      <c r="D14" s="48">
        <f>+C14/$C$10*100</f>
        <v>8.1134060249579161</v>
      </c>
      <c r="E14" s="107">
        <f>'Biểu 1 Chi tiết'!G53+'Biểu 1 Chi tiết'!G56</f>
        <v>10789</v>
      </c>
      <c r="F14" s="48">
        <f>+E14/E10*100</f>
        <v>8.2208769272433084</v>
      </c>
      <c r="G14" s="107">
        <f>'Biểu 1 Chi tiết'!I53+'Biểu 1 Chi tiết'!I56</f>
        <v>10316</v>
      </c>
      <c r="H14" s="48">
        <f>+G14/G10*100</f>
        <v>6.5089191783858702</v>
      </c>
      <c r="I14" s="107">
        <f>'Biểu 1 Chi tiết'!K44+'Biểu 1 Chi tiết'!K53+'Biểu 1 Chi tiết'!K56</f>
        <v>17891</v>
      </c>
      <c r="J14" s="48">
        <f>+I14/I10*100</f>
        <v>8.5999499269585868</v>
      </c>
      <c r="K14" s="107">
        <f>'Biểu 1 Chi tiết'!M44+'Biểu 1 Chi tiết'!M53+'Biểu 1 Chi tiết'!M56</f>
        <v>21566</v>
      </c>
      <c r="L14" s="48">
        <f>+K14/K10*100</f>
        <v>4.4052112329324027</v>
      </c>
      <c r="M14" s="107">
        <f>'Biểu 1 Chi tiết'!O44+'Biểu 1 Chi tiết'!O53+'Biểu 1 Chi tiết'!O56</f>
        <v>37501</v>
      </c>
      <c r="N14" s="48">
        <f>+M14/M10*100</f>
        <v>17.555046781735008</v>
      </c>
      <c r="O14" s="107">
        <f>'Biểu 1 Chi tiết'!Q44+'Biểu 1 Chi tiết'!Q53+'Biểu 1 Chi tiết'!Q56</f>
        <v>22418</v>
      </c>
      <c r="P14" s="48">
        <f>+O14/O10*100</f>
        <v>8.3171827069283193</v>
      </c>
      <c r="Q14" s="107">
        <f>'Biểu 1 Chi tiết'!S43*0.4+'Biểu 1 Chi tiết'!S52*0.4+'Biểu 1 Chi tiết'!S55</f>
        <v>0</v>
      </c>
      <c r="R14" s="48">
        <f>+Q14/Q10*100</f>
        <v>0</v>
      </c>
      <c r="T14" s="1292" t="s">
        <v>128</v>
      </c>
    </row>
    <row r="15" spans="1:20" s="1292" customFormat="1" ht="31.5" customHeight="1">
      <c r="A15" s="32" t="s">
        <v>70</v>
      </c>
      <c r="B15" s="1297" t="s">
        <v>1174</v>
      </c>
      <c r="C15" s="107">
        <f t="shared" ref="C15:C30" si="0">+E15+G15+I15+K15+M15+O15+Q15</f>
        <v>47696.759662678334</v>
      </c>
      <c r="D15" s="48">
        <f>+C15/$C$10*100</f>
        <v>3.2119851031958904</v>
      </c>
      <c r="E15" s="107">
        <f>'Biểu 1 Chi tiết'!G77</f>
        <v>12479.5605</v>
      </c>
      <c r="F15" s="48">
        <f>+E15/E10*100</f>
        <v>9.5090305845385998</v>
      </c>
      <c r="G15" s="107">
        <f>'Biểu 1 Chi tiết'!I77</f>
        <v>3691.6149999999998</v>
      </c>
      <c r="H15" s="48">
        <f>+G15/G10*100</f>
        <v>2.3292384327953624</v>
      </c>
      <c r="I15" s="107">
        <f>'Biểu 1 Chi tiết'!K77</f>
        <v>7230.4900000000016</v>
      </c>
      <c r="J15" s="48">
        <f>+I15/I10*100</f>
        <v>3.4755939828614841</v>
      </c>
      <c r="K15" s="107">
        <f>'Biểu 1 Chi tiết'!M77</f>
        <v>5500.5470000000014</v>
      </c>
      <c r="L15" s="48">
        <f>+K15/K10*100</f>
        <v>1.1235774567222774</v>
      </c>
      <c r="M15" s="107">
        <f>'Biểu 1 Chi tiết'!O77</f>
        <v>5323.6819999999998</v>
      </c>
      <c r="N15" s="48">
        <f>+M15/M10*100</f>
        <v>2.492133184743889</v>
      </c>
      <c r="O15" s="107">
        <f>'Biểu 1 Chi tiết'!Q77</f>
        <v>11908.385652217512</v>
      </c>
      <c r="P15" s="48">
        <f>+O15/O10*100</f>
        <v>4.4180666970317066</v>
      </c>
      <c r="Q15" s="107">
        <f>'Biểu 1 Chi tiết'!S77</f>
        <v>1562.4795104608233</v>
      </c>
      <c r="R15" s="48">
        <f>+Q15/Q10*100</f>
        <v>10.788905913134842</v>
      </c>
    </row>
    <row r="16" spans="1:20" s="1292" customFormat="1" ht="27" customHeight="1">
      <c r="A16" s="50" t="s">
        <v>81</v>
      </c>
      <c r="B16" s="1297" t="s">
        <v>1176</v>
      </c>
      <c r="C16" s="107">
        <f t="shared" si="0"/>
        <v>61347</v>
      </c>
      <c r="D16" s="48">
        <f>+C16/$C$10*100</f>
        <v>4.1312167014972756</v>
      </c>
      <c r="E16" s="107">
        <f>'Biểu 1 Chi tiết'!G81</f>
        <v>4896</v>
      </c>
      <c r="F16" s="48">
        <f>+E16/E10*100</f>
        <v>3.7305972227067601</v>
      </c>
      <c r="G16" s="107">
        <f>'Biểu 1 Chi tiết'!I81</f>
        <v>0</v>
      </c>
      <c r="H16" s="48">
        <f>+G16/G10*100</f>
        <v>0</v>
      </c>
      <c r="I16" s="107">
        <f>'Biểu 1 Chi tiết'!K81+'Biểu 1 Chi tiết'!K82</f>
        <v>21535</v>
      </c>
      <c r="J16" s="48">
        <f>+I16/I10*100</f>
        <v>10.351569039017001</v>
      </c>
      <c r="K16" s="107"/>
      <c r="L16" s="48">
        <f>+K16/K10*100</f>
        <v>0</v>
      </c>
      <c r="M16" s="107">
        <f>'Biểu 1 Chi tiết'!O81</f>
        <v>14185</v>
      </c>
      <c r="N16" s="48">
        <f>+M16/M10*100</f>
        <v>6.6403119543188476</v>
      </c>
      <c r="O16" s="107">
        <f>'Biểu 1 Chi tiết'!Q81</f>
        <v>10662</v>
      </c>
      <c r="P16" s="48">
        <f>+O16/O10*100</f>
        <v>3.9556517986113717</v>
      </c>
      <c r="Q16" s="107">
        <f>'Biểu 1 Chi tiết'!S81</f>
        <v>10069</v>
      </c>
      <c r="R16" s="48">
        <f>+Q16/Q10*100</f>
        <v>69.526347649394353</v>
      </c>
    </row>
    <row r="17" spans="1:18" s="1292" customFormat="1" ht="30.75" customHeight="1">
      <c r="A17" s="50"/>
      <c r="B17" s="1297" t="s">
        <v>1177</v>
      </c>
      <c r="C17" s="107">
        <f>+E17+G17+I17+K17+M17+O17+Q17</f>
        <v>6900</v>
      </c>
      <c r="D17" s="48">
        <f>C17/C10*100</f>
        <v>0.46465834091856489</v>
      </c>
      <c r="E17" s="107"/>
      <c r="F17" s="48"/>
      <c r="G17" s="107"/>
      <c r="H17" s="48"/>
      <c r="I17" s="107">
        <f>'Biểu 1 Chi tiết'!K145</f>
        <v>2850</v>
      </c>
      <c r="J17" s="48">
        <f>I17/I10*100</f>
        <v>1.3699545744693964</v>
      </c>
      <c r="K17" s="107"/>
      <c r="L17" s="48"/>
      <c r="M17" s="107">
        <f>'Biểu 1 Chi tiết'!O145</f>
        <v>1950</v>
      </c>
      <c r="N17" s="48">
        <f>M17/M10*100</f>
        <v>0.91283809030114571</v>
      </c>
      <c r="O17" s="107">
        <f>'Biểu 1 Chi tiết'!Q145</f>
        <v>2100</v>
      </c>
      <c r="P17" s="48">
        <f>O17/O10*100</f>
        <v>0.77910980839278576</v>
      </c>
      <c r="Q17" s="107"/>
      <c r="R17" s="48"/>
    </row>
    <row r="18" spans="1:18" s="1292" customFormat="1" ht="33.75" customHeight="1">
      <c r="A18" s="50" t="s">
        <v>81</v>
      </c>
      <c r="B18" s="1297" t="s">
        <v>1152</v>
      </c>
      <c r="C18" s="107">
        <f t="shared" si="0"/>
        <v>30618</v>
      </c>
      <c r="D18" s="48">
        <f>+C18/$C$10*100</f>
        <v>2.0618708814847277</v>
      </c>
      <c r="E18" s="107"/>
      <c r="F18" s="48"/>
      <c r="G18" s="107"/>
      <c r="H18" s="48"/>
      <c r="I18" s="107"/>
      <c r="J18" s="48"/>
      <c r="K18" s="107"/>
      <c r="L18" s="48"/>
      <c r="M18" s="107">
        <f>'Biểu 1 Chi tiết'!O207</f>
        <v>10618</v>
      </c>
      <c r="N18" s="48">
        <f>+M18/M10*100</f>
        <v>4.9705204322141361</v>
      </c>
      <c r="O18" s="107">
        <f>'Biểu 1 Chi tiết'!Q207+'Biểu 1 Chi tiết'!Q209</f>
        <v>20000</v>
      </c>
      <c r="P18" s="48">
        <f>+O18/O10*100</f>
        <v>7.4200934132646266</v>
      </c>
      <c r="Q18" s="107"/>
      <c r="R18" s="48"/>
    </row>
    <row r="19" spans="1:18" s="1292" customFormat="1" ht="27" customHeight="1">
      <c r="A19" s="50" t="s">
        <v>81</v>
      </c>
      <c r="B19" s="1297" t="s">
        <v>1155</v>
      </c>
      <c r="C19" s="107">
        <f t="shared" si="0"/>
        <v>4080</v>
      </c>
      <c r="D19" s="48">
        <f>+C19/$C$10*100</f>
        <v>0.27475449723880357</v>
      </c>
      <c r="E19" s="107"/>
      <c r="F19" s="48">
        <f>+E19/E10*100</f>
        <v>0</v>
      </c>
      <c r="G19" s="107"/>
      <c r="H19" s="48">
        <f>+G19/G10*100</f>
        <v>0</v>
      </c>
      <c r="I19" s="107">
        <f>'Biểu 1 Chi tiết'!K184</f>
        <v>2430</v>
      </c>
      <c r="J19" s="48">
        <f>+I19/I10*100</f>
        <v>1.1680665319160117</v>
      </c>
      <c r="K19" s="107">
        <f>'Biểu 1 Chi tiết'!M218</f>
        <v>0</v>
      </c>
      <c r="L19" s="48">
        <f>+K19/K10*100</f>
        <v>0</v>
      </c>
      <c r="M19" s="107">
        <f>'Biểu 1 Chi tiết'!O184</f>
        <v>1650</v>
      </c>
      <c r="N19" s="48">
        <f>+M19/M10*100</f>
        <v>0.7724014610240465</v>
      </c>
      <c r="O19" s="107">
        <f>'Biểu 1 Chi tiết'!Q218</f>
        <v>0</v>
      </c>
      <c r="P19" s="48">
        <f>+O19/O10*100</f>
        <v>0</v>
      </c>
      <c r="Q19" s="107">
        <f>'Biểu 1 Chi tiết'!S218</f>
        <v>0</v>
      </c>
      <c r="R19" s="48">
        <f>+Q19/Q10*100</f>
        <v>0</v>
      </c>
    </row>
    <row r="20" spans="1:18" s="1292" customFormat="1" ht="37.5" customHeight="1">
      <c r="A20" s="50" t="s">
        <v>81</v>
      </c>
      <c r="B20" s="1389" t="s">
        <v>1235</v>
      </c>
      <c r="C20" s="1390">
        <f>SUM(E20+G20+I20+K20+M20+O20+Q20)</f>
        <v>13617.269999999997</v>
      </c>
      <c r="D20" s="1391">
        <f>+C20/$C$10*100</f>
        <v>0.91701131681741233</v>
      </c>
      <c r="E20" s="1390">
        <v>2970</v>
      </c>
      <c r="F20" s="1391"/>
      <c r="G20" s="1390">
        <f>'[66]Biểu 2 phân nguồn'!$G$21</f>
        <v>3031.2699999999968</v>
      </c>
      <c r="H20" s="1391"/>
      <c r="I20" s="1390">
        <f>'[66]Biểu 2 phân nguồn'!$I$21</f>
        <v>2545</v>
      </c>
      <c r="J20" s="1391"/>
      <c r="K20" s="1390">
        <f>'[66]Biểu 2 phân nguồn'!$K$21</f>
        <v>3402</v>
      </c>
      <c r="L20" s="1391"/>
      <c r="M20" s="1390">
        <f>'[66]Biểu 2 phân nguồn'!$M$21</f>
        <v>1669</v>
      </c>
      <c r="N20" s="1391"/>
      <c r="O20" s="1390"/>
      <c r="P20" s="1391"/>
      <c r="Q20" s="1390"/>
      <c r="R20" s="1391"/>
    </row>
    <row r="21" spans="1:18" s="1292" customFormat="1" ht="33.75" customHeight="1">
      <c r="A21" s="32" t="s">
        <v>70</v>
      </c>
      <c r="B21" s="1297" t="s">
        <v>1240</v>
      </c>
      <c r="C21" s="107">
        <f>E21+G21+I21+K21+M21+O21+Q21</f>
        <v>734571.01500000001</v>
      </c>
      <c r="D21" s="48">
        <f>+C21/$C$10*100</f>
        <v>49.467325958951633</v>
      </c>
      <c r="E21" s="107">
        <f>'Biểu 1 Chi tiết'!G28-E20</f>
        <v>10374.48</v>
      </c>
      <c r="F21" s="48">
        <f>+E21/E10*100</f>
        <v>7.9050257914678967</v>
      </c>
      <c r="G21" s="107">
        <f>'Biểu 1 Chi tiết'!I28-G20</f>
        <v>48878.23</v>
      </c>
      <c r="H21" s="48">
        <f>+G21/G10*100</f>
        <v>30.839903901953825</v>
      </c>
      <c r="I21" s="107">
        <f>'Biểu 1 Chi tiết'!K28-I20</f>
        <v>72294.005000000005</v>
      </c>
      <c r="J21" s="48">
        <f>+I21/I10*100</f>
        <v>34.750702756653837</v>
      </c>
      <c r="K21" s="107">
        <f>'Biểu 1 Chi tiết'!M28-K20</f>
        <v>383123.8</v>
      </c>
      <c r="L21" s="48">
        <f>+K21/K10*100</f>
        <v>78.259355808390396</v>
      </c>
      <c r="M21" s="107">
        <f>'Biểu 1 Chi tiết'!O28-M20</f>
        <v>72048</v>
      </c>
      <c r="N21" s="48">
        <f>+M21/M10*100</f>
        <v>33.72726088718818</v>
      </c>
      <c r="O21" s="107">
        <f>'Biểu 1 Chi tiết'!Q28</f>
        <v>147852.5</v>
      </c>
      <c r="P21" s="48">
        <f>+O21/O10*100</f>
        <v>54.853968069235407</v>
      </c>
      <c r="Q21" s="107"/>
      <c r="R21" s="48">
        <f>+Q21/Q10*100</f>
        <v>0</v>
      </c>
    </row>
    <row r="22" spans="1:18" s="1292" customFormat="1" ht="30" customHeight="1">
      <c r="A22" s="32" t="s">
        <v>124</v>
      </c>
      <c r="B22" s="1297" t="s">
        <v>1156</v>
      </c>
      <c r="C22" s="107">
        <f t="shared" si="0"/>
        <v>259421.7</v>
      </c>
      <c r="D22" s="48">
        <f>+C22/$C$9*100</f>
        <v>14.871825124130922</v>
      </c>
      <c r="E22" s="107">
        <f>E23+E24+E25+E26</f>
        <v>38763.08</v>
      </c>
      <c r="F22" s="48">
        <f>+E22/E9*100</f>
        <v>22.801527349183857</v>
      </c>
      <c r="G22" s="107">
        <f>G23+G24+G25+G26</f>
        <v>36149.992000000006</v>
      </c>
      <c r="H22" s="48">
        <f>+G22/G9*100</f>
        <v>18.57272582945825</v>
      </c>
      <c r="I22" s="107">
        <f>I23+I24+I25+I26</f>
        <v>55968.877999999997</v>
      </c>
      <c r="J22" s="48">
        <f>+I22/I9*100</f>
        <v>21.19993323004563</v>
      </c>
      <c r="K22" s="107">
        <f>K23+K24+K25+K26</f>
        <v>31770.5</v>
      </c>
      <c r="L22" s="48">
        <f>+K22/K9*100</f>
        <v>6.0941591622427369</v>
      </c>
      <c r="M22" s="107">
        <f>M23+M24+M25+M26</f>
        <v>41990</v>
      </c>
      <c r="N22" s="48">
        <f>+M22/M9*100</f>
        <v>16.427403111751541</v>
      </c>
      <c r="O22" s="107">
        <f>O23+O24+O25+O26</f>
        <v>46877.25</v>
      </c>
      <c r="P22" s="48">
        <f>+O22/O9*100</f>
        <v>14.815086461632468</v>
      </c>
      <c r="Q22" s="107">
        <f>Q23+Q24+Q25+Q26</f>
        <v>7902</v>
      </c>
      <c r="R22" s="48">
        <f>+Q22/Q9*100</f>
        <v>35.301560616713914</v>
      </c>
    </row>
    <row r="23" spans="1:18" s="1292" customFormat="1" ht="33" customHeight="1">
      <c r="A23" s="50" t="s">
        <v>81</v>
      </c>
      <c r="B23" s="1297" t="s">
        <v>471</v>
      </c>
      <c r="C23" s="107">
        <f>+E23+G23+I23+K23+M23+O23+Q23</f>
        <v>7719.2579999999998</v>
      </c>
      <c r="D23" s="48">
        <f>C23/C22*100</f>
        <v>2.9755637250083549</v>
      </c>
      <c r="E23" s="48">
        <f>'Biểu 1 Chi tiết'!G25</f>
        <v>667.08</v>
      </c>
      <c r="F23" s="48">
        <f>E23/E22*100</f>
        <v>1.720915881813313</v>
      </c>
      <c r="G23" s="107">
        <f>'Biểu 1 Chi tiết'!I25</f>
        <v>239.8</v>
      </c>
      <c r="H23" s="48">
        <f>G23/G22*100</f>
        <v>0.66334731139082959</v>
      </c>
      <c r="I23" s="48">
        <f>'Biểu 1 Chi tiết'!K25</f>
        <v>1622.8780000000002</v>
      </c>
      <c r="J23" s="48">
        <f>I23/I22*100</f>
        <v>2.8996078856538809</v>
      </c>
      <c r="K23" s="107">
        <f>'Biểu 1 Chi tiết'!M25</f>
        <v>593.5</v>
      </c>
      <c r="L23" s="48">
        <f>K23/K22*100</f>
        <v>1.8680851733526385</v>
      </c>
      <c r="M23" s="48">
        <f>'Biểu 1 Chi tiết'!O261+'Biểu 1 Chi tiết'!O49+'Biểu 1 Chi tiết'!O234</f>
        <v>1581</v>
      </c>
      <c r="N23" s="48">
        <f>M23/M22*100</f>
        <v>3.765182186234818</v>
      </c>
      <c r="O23" s="107">
        <f>'Biểu 1 Chi tiết'!Q25</f>
        <v>2985</v>
      </c>
      <c r="P23" s="48">
        <f>O23/O22*100</f>
        <v>6.367694350671167</v>
      </c>
      <c r="Q23" s="107">
        <f>'Biểu 1 Chi tiết'!S261</f>
        <v>30</v>
      </c>
      <c r="R23" s="48">
        <f>Q23/Q22*100</f>
        <v>0.37965072133637051</v>
      </c>
    </row>
    <row r="24" spans="1:18" s="1292" customFormat="1" ht="32.25" customHeight="1">
      <c r="A24" s="32"/>
      <c r="B24" s="1297" t="s">
        <v>1150</v>
      </c>
      <c r="C24" s="107">
        <f>E24+G24+I24+K24+M24+O24+Q24</f>
        <v>141433</v>
      </c>
      <c r="D24" s="48">
        <f>C24/C22*100</f>
        <v>54.518569572244722</v>
      </c>
      <c r="E24" s="107">
        <f>+'Biểu 1 Chi tiết'!G185+'Biểu 1 Chi tiết'!G196+'Biểu 1 Chi tiết'!G201</f>
        <v>21735</v>
      </c>
      <c r="F24" s="48">
        <f>E24/E22*100</f>
        <v>56.071395771440244</v>
      </c>
      <c r="G24" s="107">
        <f>+'Biểu 1 Chi tiết'!I185+'Biểu 1 Chi tiết'!I196+'Biểu 1 Chi tiết'!I201</f>
        <v>17308</v>
      </c>
      <c r="H24" s="48">
        <f>G24/G22*100</f>
        <v>47.87829551940149</v>
      </c>
      <c r="I24" s="107">
        <f>+'Biểu 1 Chi tiết'!K185+'Biểu 1 Chi tiết'!K196+'Biểu 1 Chi tiết'!K201</f>
        <v>36386</v>
      </c>
      <c r="J24" s="48">
        <f>I24/I22*100</f>
        <v>65.011129935461625</v>
      </c>
      <c r="K24" s="107">
        <f>+'Biểu 1 Chi tiết'!M185+'Biểu 1 Chi tiết'!M196+'Biểu 1 Chi tiết'!M201</f>
        <v>19615</v>
      </c>
      <c r="L24" s="48">
        <f>K24/K22*100</f>
        <v>61.739664153853411</v>
      </c>
      <c r="M24" s="107">
        <f>+'Biểu 1 Chi tiết'!O185+'Biểu 1 Chi tiết'!O196+'Biểu 1 Chi tiết'!O201</f>
        <v>21917</v>
      </c>
      <c r="N24" s="48">
        <f>M24/M22*100</f>
        <v>52.195760895451293</v>
      </c>
      <c r="O24" s="107">
        <f>'Biểu 1 Chi tiết'!Q185+'Biểu 1 Chi tiết'!Q196+'Biểu 1 Chi tiết'!Q201</f>
        <v>20772</v>
      </c>
      <c r="P24" s="48">
        <f>O24/O22*100</f>
        <v>44.311473049293632</v>
      </c>
      <c r="Q24" s="107">
        <f>+'Biểu 1 Chi tiết'!S185+'Biểu 1 Chi tiết'!S196+'Biểu 1 Chi tiết'!S201</f>
        <v>3700</v>
      </c>
      <c r="R24" s="48">
        <f>Q24/Q22*100</f>
        <v>46.823588964819038</v>
      </c>
    </row>
    <row r="25" spans="1:18" s="1292" customFormat="1" ht="26.25" customHeight="1">
      <c r="A25" s="32"/>
      <c r="B25" s="1297" t="s">
        <v>460</v>
      </c>
      <c r="C25" s="107">
        <f>E25+G25+I25+K25+M25+O25+Q25</f>
        <v>96242</v>
      </c>
      <c r="D25" s="48">
        <f>C25/C22*100</f>
        <v>37.098669849129813</v>
      </c>
      <c r="E25" s="107">
        <f>'Biểu 1 Chi tiết'!G195+'Biểu 1 Chi tiết'!G199</f>
        <v>15861</v>
      </c>
      <c r="F25" s="48">
        <f>E25/E22*100</f>
        <v>40.917801165438867</v>
      </c>
      <c r="G25" s="107">
        <f>'Biểu 1 Chi tiết'!I195+'Biểu 1 Chi tiết'!I199</f>
        <v>15861</v>
      </c>
      <c r="H25" s="48">
        <f>G25/G22*100</f>
        <v>43.875528381859667</v>
      </c>
      <c r="I25" s="107">
        <f>'Biểu 1 Chi tiết'!K195+'Biểu 1 Chi tiết'!K199</f>
        <v>15015</v>
      </c>
      <c r="J25" s="48">
        <f>I25/I22*100</f>
        <v>26.827409332736668</v>
      </c>
      <c r="K25" s="107">
        <f>'Biểu 1 Chi tiết'!M195+'Biểu 1 Chi tiết'!M199</f>
        <v>11482</v>
      </c>
      <c r="L25" s="48">
        <f>K25/K22*100</f>
        <v>36.140444752207237</v>
      </c>
      <c r="M25" s="107">
        <f>'Biểu 1 Chi tiết'!O195+'Biểu 1 Chi tiết'!O199</f>
        <v>17472</v>
      </c>
      <c r="N25" s="48">
        <f>M25/M22*100</f>
        <v>41.609907120743031</v>
      </c>
      <c r="O25" s="107">
        <f>'Biểu 1 Chi tiết'!Q195+'Biểu 1 Chi tiết'!Q199</f>
        <v>17579</v>
      </c>
      <c r="P25" s="48">
        <f>O25/O22*100</f>
        <v>37.500066663466818</v>
      </c>
      <c r="Q25" s="107">
        <f>'Biểu 1 Chi tiết'!S195+'Biểu 1 Chi tiết'!S199</f>
        <v>2972</v>
      </c>
      <c r="R25" s="48">
        <f>Q25/Q22*100</f>
        <v>37.610731460389772</v>
      </c>
    </row>
    <row r="26" spans="1:18" s="1292" customFormat="1" ht="23.25" customHeight="1">
      <c r="A26" s="32"/>
      <c r="B26" s="1297" t="s">
        <v>459</v>
      </c>
      <c r="C26" s="107">
        <f>E26+G26+I26+K26+M26+O26+Q26</f>
        <v>14027.441999999999</v>
      </c>
      <c r="D26" s="48">
        <f>C26/C22*100</f>
        <v>5.4071968536171022</v>
      </c>
      <c r="E26" s="107">
        <f>'Biểu 1 Chi tiết'!G200</f>
        <v>500</v>
      </c>
      <c r="F26" s="48">
        <f>E26/E22*100</f>
        <v>1.2898871813075741</v>
      </c>
      <c r="G26" s="107">
        <f>'Biểu 1 Chi tiết'!I197+'Biểu 1 Chi tiết'!I200</f>
        <v>2741.192</v>
      </c>
      <c r="H26" s="48">
        <f>G26/G22*100</f>
        <v>7.582828787348002</v>
      </c>
      <c r="I26" s="107">
        <f>'Biểu 1 Chi tiết'!K200</f>
        <v>2945</v>
      </c>
      <c r="J26" s="48">
        <f>I26/I22*100</f>
        <v>5.2618528461478187</v>
      </c>
      <c r="K26" s="107">
        <f>'Biểu 1 Chi tiết'!M200</f>
        <v>80</v>
      </c>
      <c r="L26" s="48">
        <f>K26/K22*100</f>
        <v>0.25180592058670775</v>
      </c>
      <c r="M26" s="107">
        <f>'Biểu 1 Chi tiết'!O197+'Biểu 1 Chi tiết'!O200</f>
        <v>1020</v>
      </c>
      <c r="N26" s="48">
        <f>M26/M22*100</f>
        <v>2.42914979757085</v>
      </c>
      <c r="O26" s="107">
        <f>'Biểu 1 Chi tiết'!Q138+'Biểu 1 Chi tiết'!Q154+'Biểu 1 Chi tiết'!Q177+'Biểu 1 Chi tiết'!Q179+'Biểu 1 Chi tiết'!Q200</f>
        <v>5541.25</v>
      </c>
      <c r="P26" s="48">
        <f>O26/O22*100</f>
        <v>11.820765936568378</v>
      </c>
      <c r="Q26" s="107">
        <f>'Biểu 1 Chi tiết'!S200</f>
        <v>1200</v>
      </c>
      <c r="R26" s="48">
        <f>Q26/Q22*100</f>
        <v>15.186028853454822</v>
      </c>
    </row>
    <row r="27" spans="1:18" s="1292" customFormat="1" ht="33.950000000000003" customHeight="1">
      <c r="A27" s="1379">
        <v>2</v>
      </c>
      <c r="B27" s="1298" t="s">
        <v>401</v>
      </c>
      <c r="C27" s="108">
        <f t="shared" si="0"/>
        <v>316387.59999999998</v>
      </c>
      <c r="D27" s="109">
        <f>C27/C8*100</f>
        <v>8.9504690248557477</v>
      </c>
      <c r="E27" s="108"/>
      <c r="F27" s="109"/>
      <c r="G27" s="108"/>
      <c r="H27" s="109"/>
      <c r="I27" s="108"/>
      <c r="J27" s="109"/>
      <c r="K27" s="108"/>
      <c r="L27" s="109"/>
      <c r="M27" s="108"/>
      <c r="N27" s="109"/>
      <c r="O27" s="108">
        <f>'Biểu 1 Chi tiết'!Q83+'Biểu 1 Chi tiết'!Q95+'Biểu 1 Chi tiết'!Q105+'Biểu 1 Chi tiết'!Q115+'Biểu 1 Chi tiết'!Q123+'Biểu 1 Chi tiết'!Q188+'Biểu 1 Chi tiết'!Q205</f>
        <v>316387.59999999998</v>
      </c>
      <c r="P27" s="109">
        <f>O27/O8*100</f>
        <v>29.220904253988532</v>
      </c>
      <c r="Q27" s="108"/>
      <c r="R27" s="109"/>
    </row>
    <row r="28" spans="1:18" s="1292" customFormat="1" ht="21" customHeight="1">
      <c r="A28" s="1379">
        <v>3</v>
      </c>
      <c r="B28" s="1298" t="s">
        <v>125</v>
      </c>
      <c r="C28" s="108">
        <f t="shared" si="0"/>
        <v>1200000.0000000002</v>
      </c>
      <c r="D28" s="109">
        <f>+C28/$C$8*100</f>
        <v>33.947483497541938</v>
      </c>
      <c r="E28" s="108">
        <f>'Biểu 1 Chi tiết'!G193</f>
        <v>89429.207748339453</v>
      </c>
      <c r="F28" s="109">
        <f>+E28/E8*100</f>
        <v>33.255240634005766</v>
      </c>
      <c r="G28" s="108">
        <f>'Biểu 1 Chi tiết'!I193</f>
        <v>95676.100936642571</v>
      </c>
      <c r="H28" s="109">
        <f>+G28/G8*100</f>
        <v>32.101440793798858</v>
      </c>
      <c r="I28" s="108">
        <f>'Biểu 1 Chi tiết'!K193</f>
        <v>212065.58455029025</v>
      </c>
      <c r="J28" s="109">
        <f>+I28/I8*100</f>
        <v>41.775711702496153</v>
      </c>
      <c r="K28" s="108">
        <f>'Biểu 1 Chi tiết'!M193</f>
        <v>169192.17024740984</v>
      </c>
      <c r="L28" s="109">
        <f>+K28/K8*100</f>
        <v>23.388180737972505</v>
      </c>
      <c r="M28" s="108">
        <f>'Biểu 1 Chi tiết'!O193</f>
        <v>264083.88685138582</v>
      </c>
      <c r="N28" s="109">
        <f>+M28/M8*100</f>
        <v>46.799943615995765</v>
      </c>
      <c r="O28" s="108">
        <f>'Biểu 1 Chi tiết'!Q193</f>
        <v>302481.14385467756</v>
      </c>
      <c r="P28" s="109">
        <f>+O28/O8*100</f>
        <v>27.936532731416992</v>
      </c>
      <c r="Q28" s="108">
        <f>'Biểu 1 Chi tiết'!S193</f>
        <v>67071.90581125459</v>
      </c>
      <c r="R28" s="109">
        <f>+Q28/Q8*100</f>
        <v>74.651408764564849</v>
      </c>
    </row>
    <row r="29" spans="1:18" s="1292" customFormat="1" ht="21" customHeight="1">
      <c r="A29" s="1379">
        <v>4</v>
      </c>
      <c r="B29" s="1298" t="s">
        <v>126</v>
      </c>
      <c r="C29" s="108">
        <f t="shared" si="0"/>
        <v>99014</v>
      </c>
      <c r="D29" s="109">
        <f>+C29/$C$8*100</f>
        <v>2.8010634425213476</v>
      </c>
      <c r="E29" s="108">
        <f>'Biểu 1 Chi tiết'!G219</f>
        <v>1064</v>
      </c>
      <c r="F29" s="109">
        <f>+E29/E8*100</f>
        <v>0.39566017552290283</v>
      </c>
      <c r="G29" s="108"/>
      <c r="H29" s="109">
        <f>+G29/G8*100</f>
        <v>0</v>
      </c>
      <c r="I29" s="108"/>
      <c r="J29" s="109">
        <f>+I29/I8*100</f>
        <v>0</v>
      </c>
      <c r="K29" s="108">
        <f>'Biểu 1 Chi tiết'!M189</f>
        <v>6550</v>
      </c>
      <c r="L29" s="109">
        <f>+K29/K8*100</f>
        <v>0.90543542062086135</v>
      </c>
      <c r="M29" s="108"/>
      <c r="N29" s="109">
        <f>+M29/M8*100</f>
        <v>0</v>
      </c>
      <c r="O29" s="108">
        <f>'Biểu 1 Chi tiết'!Q167+'Biểu 1 Chi tiết'!Q242</f>
        <v>91400</v>
      </c>
      <c r="P29" s="109">
        <f>+O29/O8*100</f>
        <v>8.4415149292025102</v>
      </c>
      <c r="Q29" s="108"/>
      <c r="R29" s="109">
        <f>+Q29/Q8*100</f>
        <v>0</v>
      </c>
    </row>
    <row r="30" spans="1:18" s="1292" customFormat="1" ht="21" customHeight="1">
      <c r="A30" s="1299">
        <v>5</v>
      </c>
      <c r="B30" s="1300" t="s">
        <v>127</v>
      </c>
      <c r="C30" s="110">
        <f t="shared" si="0"/>
        <v>175086.19358233627</v>
      </c>
      <c r="D30" s="111">
        <f>+C30/$C$8*100</f>
        <v>4.9531130560698271</v>
      </c>
      <c r="E30" s="110">
        <f>'Biểu 1 Chi tiết'!G27</f>
        <v>8422.0101250000007</v>
      </c>
      <c r="F30" s="111">
        <f>+E30/E8*100</f>
        <v>3.1318176732266592</v>
      </c>
      <c r="G30" s="110">
        <f>'Biểu 1 Chi tiết'!I27</f>
        <v>7726.7037499999997</v>
      </c>
      <c r="H30" s="111">
        <f>+G30/G8*100</f>
        <v>2.5924794231121671</v>
      </c>
      <c r="I30" s="110">
        <f>'Biểu 1 Chi tiết'!K27</f>
        <v>31558.339500000002</v>
      </c>
      <c r="J30" s="111">
        <f>+I30/I8*100</f>
        <v>6.216813046573578</v>
      </c>
      <c r="K30" s="110">
        <f>'Biểu 1 Chi tiết'!M27</f>
        <v>26339.636750000001</v>
      </c>
      <c r="L30" s="111">
        <f>+K30/K8*100</f>
        <v>3.6410442869827397</v>
      </c>
      <c r="M30" s="110">
        <f>'Biểu 1 Chi tiết'!O27</f>
        <v>44589.120499999997</v>
      </c>
      <c r="N30" s="111">
        <f>+M30/M8*100</f>
        <v>7.9019146157189715</v>
      </c>
      <c r="O30" s="110">
        <f>'Biểu 1 Chi tiết'!Q27</f>
        <v>56059.763079721044</v>
      </c>
      <c r="P30" s="111">
        <f>+O30/O8*100</f>
        <v>5.1775637523525262</v>
      </c>
      <c r="Q30" s="110">
        <f>'Biểu 1 Chi tiết'!S78</f>
        <v>390.61987761520584</v>
      </c>
      <c r="R30" s="111">
        <f>+Q30/Q8*100</f>
        <v>0.43476212286969118</v>
      </c>
    </row>
    <row r="31" spans="1:18" s="27" customFormat="1" ht="12.75" customHeight="1">
      <c r="A31" s="25"/>
      <c r="B31" s="25"/>
      <c r="C31" s="26"/>
      <c r="D31" s="25"/>
      <c r="E31" s="25"/>
      <c r="F31" s="25"/>
      <c r="G31" s="25"/>
      <c r="H31" s="25"/>
      <c r="I31" s="25"/>
      <c r="J31" s="25"/>
      <c r="K31" s="25"/>
      <c r="L31" s="25"/>
      <c r="M31" s="25"/>
      <c r="N31" s="25"/>
      <c r="O31" s="25"/>
      <c r="P31" s="25"/>
      <c r="Q31" s="25"/>
      <c r="R31" s="25"/>
    </row>
  </sheetData>
  <mergeCells count="15">
    <mergeCell ref="B5:B7"/>
    <mergeCell ref="E6:F6"/>
    <mergeCell ref="C5:D6"/>
    <mergeCell ref="A1:B1"/>
    <mergeCell ref="A2:R2"/>
    <mergeCell ref="A3:R3"/>
    <mergeCell ref="P4:R4"/>
    <mergeCell ref="A5:A7"/>
    <mergeCell ref="I6:J6"/>
    <mergeCell ref="K6:L6"/>
    <mergeCell ref="M6:N6"/>
    <mergeCell ref="O6:P6"/>
    <mergeCell ref="E5:R5"/>
    <mergeCell ref="G6:H6"/>
    <mergeCell ref="Q6:R6"/>
  </mergeCells>
  <phoneticPr fontId="15" type="noConversion"/>
  <pageMargins left="0.43" right="0.16" top="0.5" bottom="0.27" header="0.2" footer="0.2"/>
  <pageSetup paperSize="9" scale="83" orientation="landscape" r:id="rId1"/>
  <headerFooter alignWithMargins="0">
    <oddHeader>Page &amp;P</oddHeader>
  </headerFooter>
</worksheet>
</file>

<file path=xl/worksheets/sheet6.xml><?xml version="1.0" encoding="utf-8"?>
<worksheet xmlns="http://schemas.openxmlformats.org/spreadsheetml/2006/main" xmlns:r="http://schemas.openxmlformats.org/officeDocument/2006/relationships">
  <dimension ref="A1:F20"/>
  <sheetViews>
    <sheetView zoomScale="82" zoomScaleNormal="82" workbookViewId="0">
      <selection activeCell="A4" sqref="A4:F4"/>
    </sheetView>
  </sheetViews>
  <sheetFormatPr defaultColWidth="8.625" defaultRowHeight="15"/>
  <cols>
    <col min="1" max="1" width="7" style="466" customWidth="1"/>
    <col min="2" max="2" width="55.75" style="466" customWidth="1"/>
    <col min="3" max="3" width="18" style="466" customWidth="1"/>
    <col min="4" max="4" width="19.75" style="466" customWidth="1"/>
    <col min="5" max="5" width="16.25" style="466" customWidth="1"/>
    <col min="6" max="6" width="13.75" style="466" customWidth="1"/>
    <col min="7" max="16384" width="8.625" style="466"/>
  </cols>
  <sheetData>
    <row r="1" spans="1:6" ht="15.75">
      <c r="A1" s="1431" t="s">
        <v>1217</v>
      </c>
      <c r="B1" s="1431"/>
    </row>
    <row r="2" spans="1:6" ht="16.5">
      <c r="A2" s="1429" t="s">
        <v>1219</v>
      </c>
      <c r="B2" s="1429"/>
      <c r="C2" s="1429"/>
      <c r="D2" s="1429"/>
      <c r="E2" s="1429"/>
      <c r="F2" s="1429"/>
    </row>
    <row r="3" spans="1:6" ht="16.5">
      <c r="A3" s="1429" t="s">
        <v>1178</v>
      </c>
      <c r="B3" s="1429"/>
      <c r="C3" s="1429"/>
      <c r="D3" s="1429"/>
      <c r="E3" s="1429"/>
      <c r="F3" s="1429"/>
    </row>
    <row r="4" spans="1:6" ht="16.5">
      <c r="A4" s="1430" t="s">
        <v>1247</v>
      </c>
      <c r="B4" s="1430"/>
      <c r="C4" s="1430"/>
      <c r="D4" s="1430"/>
      <c r="E4" s="1430"/>
      <c r="F4" s="1430"/>
    </row>
    <row r="5" spans="1:6" ht="15.75">
      <c r="A5" s="1380"/>
    </row>
    <row r="6" spans="1:6" ht="45" customHeight="1">
      <c r="A6" s="1381" t="s">
        <v>130</v>
      </c>
      <c r="B6" s="1381" t="s">
        <v>1179</v>
      </c>
      <c r="C6" s="1381" t="s">
        <v>1180</v>
      </c>
      <c r="D6" s="1381" t="s">
        <v>1181</v>
      </c>
      <c r="E6" s="1382" t="s">
        <v>1182</v>
      </c>
      <c r="F6" s="1382" t="s">
        <v>1183</v>
      </c>
    </row>
    <row r="7" spans="1:6" ht="145.5" customHeight="1">
      <c r="A7" s="1383">
        <v>1</v>
      </c>
      <c r="B7" s="1384" t="s">
        <v>1245</v>
      </c>
      <c r="C7" s="1383" t="s">
        <v>1184</v>
      </c>
      <c r="D7" s="1383" t="s">
        <v>1185</v>
      </c>
      <c r="E7" s="1385" t="s">
        <v>1241</v>
      </c>
      <c r="F7" s="1383" t="s">
        <v>1225</v>
      </c>
    </row>
    <row r="8" spans="1:6" ht="89.25" customHeight="1">
      <c r="A8" s="1383">
        <v>2</v>
      </c>
      <c r="B8" s="1384" t="s">
        <v>1187</v>
      </c>
      <c r="C8" s="1383" t="s">
        <v>1236</v>
      </c>
      <c r="D8" s="1383" t="s">
        <v>1188</v>
      </c>
      <c r="E8" s="1385" t="s">
        <v>1242</v>
      </c>
      <c r="F8" s="1383" t="s">
        <v>1186</v>
      </c>
    </row>
    <row r="9" spans="1:6" ht="94.5" hidden="1" customHeight="1">
      <c r="A9" s="1383">
        <v>3</v>
      </c>
      <c r="B9" s="1384" t="s">
        <v>1226</v>
      </c>
      <c r="C9" s="1383" t="s">
        <v>1189</v>
      </c>
      <c r="D9" s="1383" t="s">
        <v>1190</v>
      </c>
      <c r="E9" s="1385" t="s">
        <v>1214</v>
      </c>
      <c r="F9" s="1383" t="s">
        <v>1227</v>
      </c>
    </row>
    <row r="10" spans="1:6" ht="114" customHeight="1">
      <c r="A10" s="1383">
        <v>3</v>
      </c>
      <c r="B10" s="1384" t="s">
        <v>1228</v>
      </c>
      <c r="C10" s="1383" t="s">
        <v>1229</v>
      </c>
      <c r="D10" s="1383" t="s">
        <v>1191</v>
      </c>
      <c r="E10" s="1385" t="s">
        <v>1243</v>
      </c>
      <c r="F10" s="1383" t="s">
        <v>1230</v>
      </c>
    </row>
    <row r="11" spans="1:6" ht="66">
      <c r="A11" s="1383">
        <v>4</v>
      </c>
      <c r="B11" s="1384" t="s">
        <v>1192</v>
      </c>
      <c r="C11" s="1383" t="s">
        <v>1193</v>
      </c>
      <c r="D11" s="1383" t="s">
        <v>1194</v>
      </c>
      <c r="E11" s="1385" t="s">
        <v>1242</v>
      </c>
      <c r="F11" s="1383" t="s">
        <v>1195</v>
      </c>
    </row>
    <row r="12" spans="1:6" ht="27" customHeight="1">
      <c r="A12" s="1428">
        <v>5</v>
      </c>
      <c r="B12" s="1384" t="s">
        <v>1196</v>
      </c>
      <c r="C12" s="1428" t="s">
        <v>1197</v>
      </c>
      <c r="D12" s="1428" t="s">
        <v>1198</v>
      </c>
      <c r="E12" s="1432" t="s">
        <v>1243</v>
      </c>
      <c r="F12" s="1428" t="s">
        <v>1195</v>
      </c>
    </row>
    <row r="13" spans="1:6" ht="39.75" customHeight="1">
      <c r="A13" s="1428"/>
      <c r="B13" s="1384" t="s">
        <v>1231</v>
      </c>
      <c r="C13" s="1428"/>
      <c r="D13" s="1428"/>
      <c r="E13" s="1432"/>
      <c r="F13" s="1428"/>
    </row>
    <row r="14" spans="1:6" ht="44.25" customHeight="1">
      <c r="A14" s="1428"/>
      <c r="B14" s="1384" t="s">
        <v>1232</v>
      </c>
      <c r="C14" s="1428"/>
      <c r="D14" s="1428"/>
      <c r="E14" s="1432"/>
      <c r="F14" s="1428"/>
    </row>
    <row r="15" spans="1:6" ht="54" customHeight="1">
      <c r="A15" s="1428"/>
      <c r="B15" s="1384" t="s">
        <v>1218</v>
      </c>
      <c r="C15" s="1428"/>
      <c r="D15" s="1428"/>
      <c r="E15" s="1432"/>
      <c r="F15" s="1428"/>
    </row>
    <row r="16" spans="1:6" ht="111.75" customHeight="1">
      <c r="A16" s="1383">
        <v>6</v>
      </c>
      <c r="B16" s="1384" t="s">
        <v>1199</v>
      </c>
      <c r="C16" s="1383" t="s">
        <v>1200</v>
      </c>
      <c r="D16" s="1383" t="s">
        <v>1194</v>
      </c>
      <c r="E16" s="1385" t="s">
        <v>1213</v>
      </c>
      <c r="F16" s="1383" t="s">
        <v>1195</v>
      </c>
    </row>
    <row r="17" spans="1:6" ht="93.75" customHeight="1">
      <c r="A17" s="1383">
        <v>7</v>
      </c>
      <c r="B17" s="1384" t="s">
        <v>1201</v>
      </c>
      <c r="C17" s="1383" t="s">
        <v>1202</v>
      </c>
      <c r="D17" s="1383" t="s">
        <v>1203</v>
      </c>
      <c r="E17" s="1385" t="s">
        <v>1213</v>
      </c>
      <c r="F17" s="1383" t="s">
        <v>1195</v>
      </c>
    </row>
    <row r="18" spans="1:6" ht="105.75" customHeight="1">
      <c r="A18" s="1383">
        <v>8</v>
      </c>
      <c r="B18" s="1384" t="s">
        <v>1204</v>
      </c>
      <c r="C18" s="1383" t="s">
        <v>1205</v>
      </c>
      <c r="D18" s="1383" t="s">
        <v>1206</v>
      </c>
      <c r="E18" s="1385" t="s">
        <v>1213</v>
      </c>
      <c r="F18" s="1383" t="s">
        <v>1207</v>
      </c>
    </row>
    <row r="19" spans="1:6" ht="49.5">
      <c r="A19" s="1383">
        <v>9</v>
      </c>
      <c r="B19" s="1384" t="s">
        <v>1208</v>
      </c>
      <c r="C19" s="1383" t="s">
        <v>1233</v>
      </c>
      <c r="D19" s="1383" t="s">
        <v>1209</v>
      </c>
      <c r="E19" s="1385" t="s">
        <v>1215</v>
      </c>
      <c r="F19" s="1383" t="s">
        <v>1216</v>
      </c>
    </row>
    <row r="20" spans="1:6" ht="80.25" customHeight="1">
      <c r="A20" s="1383">
        <v>10</v>
      </c>
      <c r="B20" s="1384" t="s">
        <v>1244</v>
      </c>
      <c r="C20" s="1383" t="s">
        <v>1210</v>
      </c>
      <c r="D20" s="1383" t="s">
        <v>1211</v>
      </c>
      <c r="E20" s="1385" t="s">
        <v>1212</v>
      </c>
      <c r="F20" s="1383" t="s">
        <v>1227</v>
      </c>
    </row>
  </sheetData>
  <mergeCells count="9">
    <mergeCell ref="F12:F15"/>
    <mergeCell ref="A2:F2"/>
    <mergeCell ref="A3:F3"/>
    <mergeCell ref="A4:F4"/>
    <mergeCell ref="A1:B1"/>
    <mergeCell ref="A12:A15"/>
    <mergeCell ref="C12:C15"/>
    <mergeCell ref="D12:D15"/>
    <mergeCell ref="E12:E15"/>
  </mergeCells>
  <pageMargins left="0.44" right="0.32" top="0.5" bottom="0.45" header="0.3" footer="0.3"/>
  <pageSetup paperSize="9" orientation="landscape" r:id="rId1"/>
  <headerFooter>
    <oddHeader>Page &amp;P</oddHeader>
  </headerFooter>
</worksheet>
</file>

<file path=xl/worksheets/sheet7.xml><?xml version="1.0" encoding="utf-8"?>
<worksheet xmlns="http://schemas.openxmlformats.org/spreadsheetml/2006/main" xmlns:r="http://schemas.openxmlformats.org/officeDocument/2006/relationships">
  <sheetPr>
    <tabColor rgb="FFFFFF00"/>
  </sheetPr>
  <dimension ref="A1:AV80"/>
  <sheetViews>
    <sheetView zoomScale="73" zoomScaleNormal="73" workbookViewId="0">
      <selection activeCell="E25" sqref="E25"/>
    </sheetView>
  </sheetViews>
  <sheetFormatPr defaultColWidth="7.875" defaultRowHeight="18.75"/>
  <cols>
    <col min="1" max="1" width="6.25" style="1140" customWidth="1"/>
    <col min="2" max="2" width="56.25" style="1121" customWidth="1"/>
    <col min="3" max="3" width="11.875" style="1176" customWidth="1"/>
    <col min="4" max="4" width="10" style="1140" customWidth="1"/>
    <col min="5" max="5" width="13.375" style="1176" customWidth="1"/>
    <col min="6" max="6" width="13" style="1176" customWidth="1"/>
    <col min="7" max="7" width="13.625" style="1176" customWidth="1"/>
    <col min="8" max="8" width="11.25" style="1176" customWidth="1"/>
    <col min="9" max="9" width="9.75" style="1176" customWidth="1"/>
    <col min="10" max="10" width="9.5" style="1176" customWidth="1"/>
    <col min="11" max="11" width="11" style="1176" customWidth="1"/>
    <col min="12" max="12" width="12.75" style="1176" customWidth="1"/>
    <col min="13" max="13" width="7.25" style="1120" hidden="1" customWidth="1"/>
    <col min="14" max="14" width="19.875" style="1121" hidden="1" customWidth="1"/>
    <col min="15" max="15" width="11" style="1121" hidden="1" customWidth="1"/>
    <col min="16" max="16" width="15.75" style="1121" hidden="1" customWidth="1"/>
    <col min="17" max="17" width="9.25" style="1121" hidden="1" customWidth="1"/>
    <col min="18" max="29" width="0" style="1121" hidden="1" customWidth="1"/>
    <col min="30" max="30" width="10.25" style="1121" hidden="1" customWidth="1"/>
    <col min="31" max="31" width="0" style="1121" hidden="1" customWidth="1"/>
    <col min="32" max="33" width="10.25" style="1121" hidden="1" customWidth="1"/>
    <col min="34" max="61" width="0" style="1121" hidden="1" customWidth="1"/>
    <col min="62" max="16384" width="7.875" style="1121"/>
  </cols>
  <sheetData>
    <row r="1" spans="1:33" s="1118" customFormat="1" ht="19.5" customHeight="1">
      <c r="A1" s="1433"/>
      <c r="B1" s="1433"/>
      <c r="K1" s="1434"/>
      <c r="L1" s="1434"/>
      <c r="M1" s="1119"/>
    </row>
    <row r="2" spans="1:33" s="1118" customFormat="1" ht="45.6" customHeight="1">
      <c r="A2" s="1435" t="s">
        <v>1053</v>
      </c>
      <c r="B2" s="1435"/>
      <c r="C2" s="1435"/>
      <c r="D2" s="1435"/>
      <c r="E2" s="1435"/>
      <c r="F2" s="1435"/>
      <c r="G2" s="1435"/>
      <c r="H2" s="1435"/>
      <c r="I2" s="1435"/>
      <c r="J2" s="1435"/>
      <c r="K2" s="1435"/>
      <c r="L2" s="1435"/>
      <c r="M2" s="1119"/>
    </row>
    <row r="3" spans="1:33" s="1118" customFormat="1" ht="31.5" customHeight="1">
      <c r="A3" s="1436"/>
      <c r="B3" s="1437"/>
      <c r="C3" s="1437"/>
      <c r="D3" s="1437"/>
      <c r="E3" s="1437"/>
      <c r="F3" s="1437"/>
      <c r="G3" s="1437"/>
      <c r="H3" s="1437"/>
      <c r="I3" s="1437"/>
      <c r="J3" s="1437"/>
      <c r="K3" s="1437"/>
      <c r="L3" s="1437"/>
      <c r="M3" s="1119"/>
    </row>
    <row r="4" spans="1:33" ht="18.75" customHeight="1">
      <c r="A4" s="1438" t="s">
        <v>876</v>
      </c>
      <c r="B4" s="1438"/>
      <c r="C4" s="1438"/>
      <c r="D4" s="1438"/>
      <c r="E4" s="1438"/>
      <c r="F4" s="1438"/>
      <c r="G4" s="1438"/>
      <c r="H4" s="1438"/>
      <c r="I4" s="1438"/>
      <c r="J4" s="1438"/>
      <c r="K4" s="1438"/>
      <c r="L4" s="1438"/>
    </row>
    <row r="5" spans="1:33" ht="30" customHeight="1">
      <c r="A5" s="1439"/>
      <c r="B5" s="1442" t="s">
        <v>1055</v>
      </c>
      <c r="C5" s="1445" t="s">
        <v>1056</v>
      </c>
      <c r="D5" s="1446"/>
      <c r="E5" s="1446"/>
      <c r="F5" s="1446"/>
      <c r="G5" s="1446"/>
      <c r="H5" s="1446"/>
      <c r="I5" s="1446"/>
      <c r="J5" s="1446"/>
      <c r="K5" s="1446"/>
      <c r="L5" s="1447"/>
    </row>
    <row r="6" spans="1:33" ht="30" customHeight="1">
      <c r="A6" s="1440"/>
      <c r="B6" s="1443"/>
      <c r="C6" s="1448" t="s">
        <v>153</v>
      </c>
      <c r="D6" s="1450" t="s">
        <v>2</v>
      </c>
      <c r="E6" s="1451"/>
      <c r="F6" s="1451"/>
      <c r="G6" s="1451"/>
      <c r="H6" s="1451"/>
      <c r="I6" s="1451"/>
      <c r="J6" s="1451"/>
      <c r="K6" s="1451"/>
      <c r="L6" s="1452"/>
    </row>
    <row r="7" spans="1:33" s="1124" customFormat="1" ht="100.5" customHeight="1">
      <c r="A7" s="1441"/>
      <c r="B7" s="1444"/>
      <c r="C7" s="1449"/>
      <c r="D7" s="1122" t="s">
        <v>134</v>
      </c>
      <c r="E7" s="1122" t="s">
        <v>135</v>
      </c>
      <c r="F7" s="1122" t="s">
        <v>136</v>
      </c>
      <c r="G7" s="1122" t="s">
        <v>137</v>
      </c>
      <c r="H7" s="1122" t="s">
        <v>138</v>
      </c>
      <c r="I7" s="1122" t="s">
        <v>139</v>
      </c>
      <c r="J7" s="1122" t="s">
        <v>860</v>
      </c>
      <c r="K7" s="1122" t="s">
        <v>1057</v>
      </c>
      <c r="L7" s="1122" t="s">
        <v>1058</v>
      </c>
      <c r="M7" s="1123"/>
    </row>
    <row r="8" spans="1:33" s="1127" customFormat="1" ht="19.350000000000001" customHeight="1">
      <c r="A8" s="1125">
        <v>1</v>
      </c>
      <c r="B8" s="1125">
        <v>2</v>
      </c>
      <c r="C8" s="1125">
        <v>3</v>
      </c>
      <c r="D8" s="1125">
        <v>4</v>
      </c>
      <c r="E8" s="1125">
        <v>5</v>
      </c>
      <c r="F8" s="1125">
        <v>6</v>
      </c>
      <c r="G8" s="1125">
        <v>7</v>
      </c>
      <c r="H8" s="1125">
        <v>8</v>
      </c>
      <c r="I8" s="1125">
        <v>9</v>
      </c>
      <c r="J8" s="1125">
        <v>10</v>
      </c>
      <c r="K8" s="1125">
        <v>11</v>
      </c>
      <c r="L8" s="1125">
        <v>12</v>
      </c>
      <c r="M8" s="1126"/>
    </row>
    <row r="9" spans="1:33" s="1124" customFormat="1" ht="33" hidden="1" customHeight="1">
      <c r="A9" s="1128" t="s">
        <v>66</v>
      </c>
      <c r="B9" s="1129" t="s">
        <v>1059</v>
      </c>
      <c r="C9" s="1130">
        <f t="shared" ref="C9:L9" si="0">C10+C13</f>
        <v>264822</v>
      </c>
      <c r="D9" s="1130">
        <f t="shared" si="0"/>
        <v>78214.5</v>
      </c>
      <c r="E9" s="1130">
        <f t="shared" si="0"/>
        <v>74989.5</v>
      </c>
      <c r="F9" s="1130">
        <f t="shared" si="0"/>
        <v>17135</v>
      </c>
      <c r="G9" s="1130">
        <f t="shared" si="0"/>
        <v>13014</v>
      </c>
      <c r="H9" s="1130">
        <f t="shared" si="0"/>
        <v>20063</v>
      </c>
      <c r="I9" s="1130">
        <f t="shared" si="0"/>
        <v>20170</v>
      </c>
      <c r="J9" s="1130">
        <f t="shared" si="0"/>
        <v>3285</v>
      </c>
      <c r="K9" s="1130">
        <f t="shared" si="0"/>
        <v>12242</v>
      </c>
      <c r="L9" s="1130">
        <f t="shared" si="0"/>
        <v>25709</v>
      </c>
      <c r="M9" s="1131"/>
      <c r="AD9" s="1124">
        <f>112449+144659</f>
        <v>257108</v>
      </c>
      <c r="AF9" s="1124" t="s">
        <v>1060</v>
      </c>
      <c r="AG9" s="1124" t="s">
        <v>1061</v>
      </c>
    </row>
    <row r="10" spans="1:33" s="1124" customFormat="1" ht="33" hidden="1" customHeight="1">
      <c r="A10" s="1132">
        <v>1</v>
      </c>
      <c r="B10" s="1133" t="s">
        <v>1062</v>
      </c>
      <c r="C10" s="1134">
        <f t="shared" ref="C10:L10" si="1">C11+C12</f>
        <v>257108</v>
      </c>
      <c r="D10" s="1134">
        <f t="shared" si="1"/>
        <v>74385</v>
      </c>
      <c r="E10" s="1134">
        <f t="shared" si="1"/>
        <v>71805</v>
      </c>
      <c r="F10" s="1134">
        <f t="shared" si="1"/>
        <v>17135</v>
      </c>
      <c r="G10" s="1134">
        <f t="shared" si="1"/>
        <v>13014</v>
      </c>
      <c r="H10" s="1134">
        <f t="shared" si="1"/>
        <v>20063</v>
      </c>
      <c r="I10" s="1134">
        <f t="shared" si="1"/>
        <v>20170</v>
      </c>
      <c r="J10" s="1134">
        <f t="shared" si="1"/>
        <v>3285</v>
      </c>
      <c r="K10" s="1134">
        <f t="shared" si="1"/>
        <v>12120</v>
      </c>
      <c r="L10" s="1134">
        <f t="shared" si="1"/>
        <v>25131</v>
      </c>
      <c r="M10" s="1131"/>
      <c r="AD10" s="1135">
        <f>D10-44559</f>
        <v>29826</v>
      </c>
      <c r="AF10" s="1135">
        <f>C11+C14</f>
        <v>115823</v>
      </c>
      <c r="AG10" s="1135">
        <f>C12+C15</f>
        <v>148999</v>
      </c>
    </row>
    <row r="11" spans="1:33" s="1140" customFormat="1" ht="33" hidden="1" customHeight="1">
      <c r="A11" s="1136"/>
      <c r="B11" s="1137" t="s">
        <v>1063</v>
      </c>
      <c r="C11" s="1138">
        <f t="shared" ref="C11:L11" si="2">C19+C38</f>
        <v>112449</v>
      </c>
      <c r="D11" s="1138">
        <f t="shared" si="2"/>
        <v>44559</v>
      </c>
      <c r="E11" s="1138">
        <f t="shared" si="2"/>
        <v>44559</v>
      </c>
      <c r="F11" s="1138"/>
      <c r="G11" s="1138"/>
      <c r="H11" s="1138"/>
      <c r="I11" s="1138"/>
      <c r="J11" s="1138"/>
      <c r="K11" s="1138">
        <f t="shared" si="2"/>
        <v>4065</v>
      </c>
      <c r="L11" s="1138">
        <f t="shared" si="2"/>
        <v>19266</v>
      </c>
      <c r="M11" s="1139"/>
    </row>
    <row r="12" spans="1:33" s="1140" customFormat="1" ht="33" hidden="1" customHeight="1">
      <c r="A12" s="1136"/>
      <c r="B12" s="1137" t="s">
        <v>1064</v>
      </c>
      <c r="C12" s="1138">
        <f t="shared" ref="C12:L12" si="3">C20+C25+C28+C39+C61+C64+C73</f>
        <v>144659</v>
      </c>
      <c r="D12" s="1138">
        <f t="shared" si="3"/>
        <v>29826</v>
      </c>
      <c r="E12" s="1138">
        <f t="shared" si="3"/>
        <v>27246</v>
      </c>
      <c r="F12" s="1138">
        <f t="shared" si="3"/>
        <v>17135</v>
      </c>
      <c r="G12" s="1138">
        <f t="shared" si="3"/>
        <v>13014</v>
      </c>
      <c r="H12" s="1138">
        <f t="shared" si="3"/>
        <v>20063</v>
      </c>
      <c r="I12" s="1138">
        <f t="shared" si="3"/>
        <v>20170</v>
      </c>
      <c r="J12" s="1138">
        <f t="shared" si="3"/>
        <v>3285</v>
      </c>
      <c r="K12" s="1138">
        <f t="shared" si="3"/>
        <v>8055</v>
      </c>
      <c r="L12" s="1138">
        <f t="shared" si="3"/>
        <v>5865</v>
      </c>
      <c r="M12" s="1139"/>
      <c r="AD12" s="1141">
        <f>C12+12340</f>
        <v>156999</v>
      </c>
    </row>
    <row r="13" spans="1:33" s="1124" customFormat="1" ht="33" hidden="1" customHeight="1">
      <c r="A13" s="1132">
        <v>2</v>
      </c>
      <c r="B13" s="1133" t="s">
        <v>1065</v>
      </c>
      <c r="C13" s="1134">
        <f t="shared" ref="C13:L13" si="4">C14+C15</f>
        <v>7714</v>
      </c>
      <c r="D13" s="1134">
        <f t="shared" si="4"/>
        <v>3829.5</v>
      </c>
      <c r="E13" s="1134">
        <f t="shared" si="4"/>
        <v>3184.5</v>
      </c>
      <c r="F13" s="1134"/>
      <c r="G13" s="1134"/>
      <c r="H13" s="1134"/>
      <c r="I13" s="1134"/>
      <c r="J13" s="1134"/>
      <c r="K13" s="1134">
        <f t="shared" si="4"/>
        <v>122</v>
      </c>
      <c r="L13" s="1134">
        <f t="shared" si="4"/>
        <v>578</v>
      </c>
      <c r="M13" s="1131"/>
    </row>
    <row r="14" spans="1:33" s="1140" customFormat="1" ht="33" hidden="1" customHeight="1">
      <c r="A14" s="1136"/>
      <c r="B14" s="1137" t="s">
        <v>1063</v>
      </c>
      <c r="C14" s="1138">
        <f t="shared" ref="C14:L14" si="5">C22+C41</f>
        <v>3374</v>
      </c>
      <c r="D14" s="1138">
        <f t="shared" si="5"/>
        <v>1337</v>
      </c>
      <c r="E14" s="1138">
        <f t="shared" si="5"/>
        <v>1337</v>
      </c>
      <c r="F14" s="1138"/>
      <c r="G14" s="1138"/>
      <c r="H14" s="1138"/>
      <c r="I14" s="1138"/>
      <c r="J14" s="1138"/>
      <c r="K14" s="1138">
        <f t="shared" si="5"/>
        <v>122</v>
      </c>
      <c r="L14" s="1138">
        <f t="shared" si="5"/>
        <v>578</v>
      </c>
      <c r="M14" s="1139"/>
    </row>
    <row r="15" spans="1:33" s="1140" customFormat="1" ht="33" hidden="1" customHeight="1">
      <c r="A15" s="1136"/>
      <c r="B15" s="1137" t="s">
        <v>1064</v>
      </c>
      <c r="C15" s="1138">
        <f t="shared" ref="C15:L15" si="6">C23+C26+C29+C42+C62+C65+C74</f>
        <v>4340</v>
      </c>
      <c r="D15" s="1138">
        <f t="shared" si="6"/>
        <v>2492.5</v>
      </c>
      <c r="E15" s="1138">
        <f t="shared" si="6"/>
        <v>1847.5</v>
      </c>
      <c r="F15" s="1138"/>
      <c r="G15" s="1138"/>
      <c r="H15" s="1138"/>
      <c r="I15" s="1138"/>
      <c r="J15" s="1138"/>
      <c r="K15" s="1138">
        <f t="shared" si="6"/>
        <v>0</v>
      </c>
      <c r="L15" s="1138">
        <f t="shared" si="6"/>
        <v>0</v>
      </c>
      <c r="M15" s="1139"/>
    </row>
    <row r="16" spans="1:33" s="1144" customFormat="1" ht="39" hidden="1" customHeight="1">
      <c r="A16" s="1142" t="s">
        <v>67</v>
      </c>
      <c r="B16" s="1143" t="s">
        <v>1066</v>
      </c>
      <c r="C16" s="1134">
        <f>D16+E16+F16+G16+H16+I16+J16+K16+L16</f>
        <v>264822</v>
      </c>
      <c r="D16" s="1134">
        <f t="shared" ref="D16:L16" si="7">D17+D24+D27+D36+D60+D63+D72</f>
        <v>78214.5</v>
      </c>
      <c r="E16" s="1134">
        <f t="shared" si="7"/>
        <v>74989.5</v>
      </c>
      <c r="F16" s="1134">
        <f t="shared" si="7"/>
        <v>17135</v>
      </c>
      <c r="G16" s="1134">
        <f t="shared" si="7"/>
        <v>13014</v>
      </c>
      <c r="H16" s="1134">
        <f t="shared" si="7"/>
        <v>20063</v>
      </c>
      <c r="I16" s="1134">
        <f t="shared" si="7"/>
        <v>20170</v>
      </c>
      <c r="J16" s="1134">
        <f t="shared" si="7"/>
        <v>3285</v>
      </c>
      <c r="K16" s="1134">
        <f t="shared" si="7"/>
        <v>12242</v>
      </c>
      <c r="L16" s="1134">
        <f t="shared" si="7"/>
        <v>25709</v>
      </c>
      <c r="M16" s="1131"/>
      <c r="AD16" s="1144">
        <f>C12*3%</f>
        <v>4339.7699999999995</v>
      </c>
    </row>
    <row r="17" spans="1:30" s="1145" customFormat="1" ht="42.6" hidden="1" customHeight="1">
      <c r="A17" s="1142">
        <v>1</v>
      </c>
      <c r="B17" s="1143" t="s">
        <v>1067</v>
      </c>
      <c r="C17" s="1134">
        <f>D17+E17+F17+G17+H17+I17+J17+K17+L17</f>
        <v>101959</v>
      </c>
      <c r="D17" s="1134">
        <f>D18+D21</f>
        <v>50979.5</v>
      </c>
      <c r="E17" s="1134">
        <f>E18+E21</f>
        <v>50979.5</v>
      </c>
      <c r="F17" s="1134"/>
      <c r="G17" s="1134"/>
      <c r="H17" s="1134"/>
      <c r="I17" s="1134"/>
      <c r="J17" s="1134"/>
      <c r="K17" s="1134"/>
      <c r="L17" s="1134"/>
      <c r="N17" s="1145">
        <f>15*170</f>
        <v>2550</v>
      </c>
    </row>
    <row r="18" spans="1:30" s="1145" customFormat="1" ht="30.75" hidden="1" customHeight="1">
      <c r="A18" s="1142" t="s">
        <v>122</v>
      </c>
      <c r="B18" s="1143" t="s">
        <v>1068</v>
      </c>
      <c r="C18" s="1134">
        <f>SUM(C19:C20)</f>
        <v>98030</v>
      </c>
      <c r="D18" s="1134">
        <f>SUM(D19:D20)</f>
        <v>49015</v>
      </c>
      <c r="E18" s="1134">
        <f>SUM(E19:E20)</f>
        <v>49015</v>
      </c>
      <c r="F18" s="1134"/>
      <c r="G18" s="1134"/>
      <c r="H18" s="1134"/>
      <c r="I18" s="1134"/>
      <c r="J18" s="1134"/>
      <c r="K18" s="1134"/>
      <c r="L18" s="1134"/>
    </row>
    <row r="19" spans="1:30" s="1145" customFormat="1" ht="30.75" hidden="1" customHeight="1">
      <c r="A19" s="1142"/>
      <c r="B19" s="1137" t="s">
        <v>1063</v>
      </c>
      <c r="C19" s="1134">
        <f>SUM(D19:L19)</f>
        <v>89118</v>
      </c>
      <c r="D19" s="1134">
        <v>44559</v>
      </c>
      <c r="E19" s="1134">
        <v>44559</v>
      </c>
      <c r="F19" s="1134"/>
      <c r="G19" s="1134"/>
      <c r="H19" s="1134"/>
      <c r="I19" s="1134"/>
      <c r="J19" s="1134"/>
      <c r="K19" s="1134"/>
      <c r="L19" s="1134"/>
      <c r="AD19" s="1145">
        <f>C19*3%</f>
        <v>2673.54</v>
      </c>
    </row>
    <row r="20" spans="1:30" s="1145" customFormat="1" ht="30.75" hidden="1" customHeight="1">
      <c r="A20" s="1142"/>
      <c r="B20" s="1137" t="s">
        <v>1064</v>
      </c>
      <c r="C20" s="1134">
        <f>SUM(D20:L20)</f>
        <v>8912</v>
      </c>
      <c r="D20" s="1134">
        <v>4456</v>
      </c>
      <c r="E20" s="1134">
        <v>4456</v>
      </c>
      <c r="F20" s="1134"/>
      <c r="G20" s="1134"/>
      <c r="H20" s="1134"/>
      <c r="I20" s="1134"/>
      <c r="J20" s="1134"/>
      <c r="K20" s="1134"/>
      <c r="L20" s="1134"/>
    </row>
    <row r="21" spans="1:30" s="1145" customFormat="1" ht="30.75" hidden="1" customHeight="1">
      <c r="A21" s="1142" t="s">
        <v>124</v>
      </c>
      <c r="B21" s="1133" t="s">
        <v>1065</v>
      </c>
      <c r="C21" s="1134">
        <f>SUM(D21:L21)</f>
        <v>3929</v>
      </c>
      <c r="D21" s="1134">
        <f>D22+D23</f>
        <v>1964.5</v>
      </c>
      <c r="E21" s="1134">
        <f>E22+E23</f>
        <v>1964.5</v>
      </c>
      <c r="F21" s="1134"/>
      <c r="G21" s="1134"/>
      <c r="H21" s="1134"/>
      <c r="I21" s="1134"/>
      <c r="J21" s="1134"/>
      <c r="K21" s="1134"/>
      <c r="L21" s="1134"/>
    </row>
    <row r="22" spans="1:30" s="1120" customFormat="1" ht="30.75" hidden="1" customHeight="1">
      <c r="A22" s="1146"/>
      <c r="B22" s="1137" t="s">
        <v>1063</v>
      </c>
      <c r="C22" s="1138">
        <f>SUM(D22:L22)</f>
        <v>2674</v>
      </c>
      <c r="D22" s="1138">
        <v>1337</v>
      </c>
      <c r="E22" s="1138">
        <v>1337</v>
      </c>
      <c r="F22" s="1138"/>
      <c r="G22" s="1138"/>
      <c r="H22" s="1138"/>
      <c r="I22" s="1138"/>
      <c r="J22" s="1138"/>
      <c r="K22" s="1138"/>
      <c r="L22" s="1138"/>
    </row>
    <row r="23" spans="1:30" s="1120" customFormat="1" ht="30.75" hidden="1" customHeight="1">
      <c r="A23" s="1146"/>
      <c r="B23" s="1137" t="s">
        <v>1064</v>
      </c>
      <c r="C23" s="1138">
        <f>SUM(D23:L23)</f>
        <v>1255</v>
      </c>
      <c r="D23" s="1138">
        <v>627.5</v>
      </c>
      <c r="E23" s="1138">
        <v>627.5</v>
      </c>
      <c r="F23" s="1138"/>
      <c r="G23" s="1138"/>
      <c r="H23" s="1138"/>
      <c r="I23" s="1138"/>
      <c r="J23" s="1138"/>
      <c r="K23" s="1138"/>
      <c r="L23" s="1138"/>
    </row>
    <row r="24" spans="1:30" s="1145" customFormat="1" ht="54.75" customHeight="1">
      <c r="A24" s="1142">
        <v>2</v>
      </c>
      <c r="B24" s="1143" t="s">
        <v>1069</v>
      </c>
      <c r="C24" s="1134">
        <f t="shared" ref="C24:J24" si="8">C25+C26</f>
        <v>44399</v>
      </c>
      <c r="D24" s="1134">
        <f t="shared" si="8"/>
        <v>6873</v>
      </c>
      <c r="E24" s="1134">
        <f t="shared" si="8"/>
        <v>6873</v>
      </c>
      <c r="F24" s="1134">
        <f t="shared" si="8"/>
        <v>7110</v>
      </c>
      <c r="G24" s="1134">
        <f t="shared" si="8"/>
        <v>5135</v>
      </c>
      <c r="H24" s="1134">
        <f t="shared" si="8"/>
        <v>8690</v>
      </c>
      <c r="I24" s="1134">
        <f t="shared" si="8"/>
        <v>8690</v>
      </c>
      <c r="J24" s="1134">
        <f t="shared" si="8"/>
        <v>1028</v>
      </c>
      <c r="K24" s="1134"/>
      <c r="L24" s="1134"/>
      <c r="AD24" s="1145">
        <f>1157+4065</f>
        <v>5222</v>
      </c>
    </row>
    <row r="25" spans="1:30" s="1120" customFormat="1" ht="42.6" customHeight="1">
      <c r="A25" s="1146"/>
      <c r="B25" s="1147" t="s">
        <v>1062</v>
      </c>
      <c r="C25" s="1138">
        <f>SUM(D25:L25)</f>
        <v>44399</v>
      </c>
      <c r="D25" s="1138">
        <v>6873</v>
      </c>
      <c r="E25" s="1138">
        <v>6873</v>
      </c>
      <c r="F25" s="1138">
        <v>7110</v>
      </c>
      <c r="G25" s="1138">
        <v>5135</v>
      </c>
      <c r="H25" s="1138">
        <v>8690</v>
      </c>
      <c r="I25" s="1138">
        <v>8690</v>
      </c>
      <c r="J25" s="1138">
        <v>1028</v>
      </c>
      <c r="K25" s="1138"/>
      <c r="L25" s="1138"/>
    </row>
    <row r="26" spans="1:30" s="1151" customFormat="1" ht="42.6" hidden="1" customHeight="1">
      <c r="A26" s="1148"/>
      <c r="B26" s="1149" t="s">
        <v>1065</v>
      </c>
      <c r="C26" s="1150">
        <f>SUM(D26:L26)</f>
        <v>0</v>
      </c>
      <c r="D26" s="1150"/>
      <c r="E26" s="1150"/>
      <c r="F26" s="1150"/>
      <c r="G26" s="1150"/>
      <c r="H26" s="1150"/>
      <c r="I26" s="1150"/>
      <c r="J26" s="1150"/>
      <c r="K26" s="1150"/>
      <c r="L26" s="1150"/>
    </row>
    <row r="27" spans="1:30" s="1145" customFormat="1" ht="42.6" customHeight="1">
      <c r="A27" s="1142">
        <v>3</v>
      </c>
      <c r="B27" s="1143" t="s">
        <v>1070</v>
      </c>
      <c r="C27" s="1134">
        <f t="shared" ref="C27:L27" si="9">C28+C29</f>
        <v>24425</v>
      </c>
      <c r="D27" s="1134">
        <f t="shared" si="9"/>
        <v>3511</v>
      </c>
      <c r="E27" s="1134">
        <f t="shared" si="9"/>
        <v>3511</v>
      </c>
      <c r="F27" s="1134">
        <f t="shared" si="9"/>
        <v>3633</v>
      </c>
      <c r="G27" s="1134">
        <f t="shared" si="9"/>
        <v>2647</v>
      </c>
      <c r="H27" s="1134">
        <f t="shared" si="9"/>
        <v>4403</v>
      </c>
      <c r="I27" s="1134">
        <f t="shared" si="9"/>
        <v>4403</v>
      </c>
      <c r="J27" s="1134">
        <f t="shared" si="9"/>
        <v>854</v>
      </c>
      <c r="K27" s="1134">
        <f t="shared" si="9"/>
        <v>1463</v>
      </c>
      <c r="L27" s="1134">
        <f t="shared" si="9"/>
        <v>0</v>
      </c>
    </row>
    <row r="28" spans="1:30" s="1145" customFormat="1" ht="30.75" customHeight="1">
      <c r="A28" s="1142"/>
      <c r="B28" s="1147" t="s">
        <v>1062</v>
      </c>
      <c r="C28" s="1134">
        <f>SUM(D28:L28)</f>
        <v>24425</v>
      </c>
      <c r="D28" s="1134">
        <f t="shared" ref="D28:L28" si="10">D31+D34</f>
        <v>3511</v>
      </c>
      <c r="E28" s="1134">
        <f t="shared" si="10"/>
        <v>3511</v>
      </c>
      <c r="F28" s="1134">
        <f t="shared" si="10"/>
        <v>3633</v>
      </c>
      <c r="G28" s="1134">
        <f t="shared" si="10"/>
        <v>2647</v>
      </c>
      <c r="H28" s="1134">
        <f t="shared" si="10"/>
        <v>4403</v>
      </c>
      <c r="I28" s="1134">
        <f t="shared" si="10"/>
        <v>4403</v>
      </c>
      <c r="J28" s="1134">
        <f t="shared" si="10"/>
        <v>854</v>
      </c>
      <c r="K28" s="1134">
        <f t="shared" si="10"/>
        <v>1463</v>
      </c>
      <c r="L28" s="1134">
        <f t="shared" si="10"/>
        <v>0</v>
      </c>
    </row>
    <row r="29" spans="1:30" s="1154" customFormat="1" ht="30.75" hidden="1" customHeight="1">
      <c r="A29" s="1152"/>
      <c r="B29" s="1149" t="s">
        <v>1065</v>
      </c>
      <c r="C29" s="1153">
        <f>SUM(D29:L29)</f>
        <v>0</v>
      </c>
      <c r="D29" s="1153">
        <f>D32+D35</f>
        <v>0</v>
      </c>
      <c r="E29" s="1153"/>
      <c r="F29" s="1153"/>
      <c r="G29" s="1153"/>
      <c r="H29" s="1153"/>
      <c r="I29" s="1153"/>
      <c r="J29" s="1153"/>
      <c r="K29" s="1153"/>
      <c r="L29" s="1153"/>
    </row>
    <row r="30" spans="1:30" s="1157" customFormat="1" ht="43.5" customHeight="1">
      <c r="A30" s="1155" t="s">
        <v>189</v>
      </c>
      <c r="B30" s="1156" t="s">
        <v>1071</v>
      </c>
      <c r="C30" s="1138">
        <f t="shared" ref="C30:L30" si="11">C31+C32</f>
        <v>19583</v>
      </c>
      <c r="D30" s="1138">
        <f t="shared" si="11"/>
        <v>2880</v>
      </c>
      <c r="E30" s="1138">
        <f t="shared" si="11"/>
        <v>2880</v>
      </c>
      <c r="F30" s="1138">
        <f t="shared" si="11"/>
        <v>2980</v>
      </c>
      <c r="G30" s="1138">
        <f t="shared" si="11"/>
        <v>2152</v>
      </c>
      <c r="H30" s="1138">
        <f t="shared" si="11"/>
        <v>3641</v>
      </c>
      <c r="I30" s="1138">
        <f t="shared" si="11"/>
        <v>3641</v>
      </c>
      <c r="J30" s="1138">
        <f t="shared" si="11"/>
        <v>430</v>
      </c>
      <c r="K30" s="1138">
        <f t="shared" si="11"/>
        <v>979</v>
      </c>
      <c r="L30" s="1138">
        <f t="shared" si="11"/>
        <v>0</v>
      </c>
    </row>
    <row r="31" spans="1:30" s="1157" customFormat="1" ht="30.75" customHeight="1">
      <c r="A31" s="1155"/>
      <c r="B31" s="1147" t="s">
        <v>1062</v>
      </c>
      <c r="C31" s="1138">
        <f>SUM(D31:L31)</f>
        <v>19583</v>
      </c>
      <c r="D31" s="1138">
        <v>2880</v>
      </c>
      <c r="E31" s="1138">
        <v>2880</v>
      </c>
      <c r="F31" s="1138">
        <v>2980</v>
      </c>
      <c r="G31" s="1138">
        <v>2152</v>
      </c>
      <c r="H31" s="1138">
        <v>3641</v>
      </c>
      <c r="I31" s="1138">
        <v>3641</v>
      </c>
      <c r="J31" s="1138">
        <v>430</v>
      </c>
      <c r="K31" s="1138">
        <v>979</v>
      </c>
      <c r="L31" s="1138"/>
    </row>
    <row r="32" spans="1:30" s="1157" customFormat="1" ht="30.75" hidden="1" customHeight="1">
      <c r="A32" s="1155"/>
      <c r="B32" s="1147" t="s">
        <v>1065</v>
      </c>
      <c r="C32" s="1138">
        <f>SUM(D32:L32)</f>
        <v>0</v>
      </c>
      <c r="D32" s="1138"/>
      <c r="E32" s="1138"/>
      <c r="F32" s="1138"/>
      <c r="G32" s="1138"/>
      <c r="H32" s="1138"/>
      <c r="I32" s="1138"/>
      <c r="J32" s="1138"/>
      <c r="K32" s="1138"/>
      <c r="L32" s="1138"/>
    </row>
    <row r="33" spans="1:45" s="1157" customFormat="1" ht="30.75" customHeight="1">
      <c r="A33" s="1155" t="s">
        <v>190</v>
      </c>
      <c r="B33" s="1156" t="s">
        <v>1072</v>
      </c>
      <c r="C33" s="1138">
        <f t="shared" ref="C33:L33" si="12">C34+C35</f>
        <v>4842</v>
      </c>
      <c r="D33" s="1138">
        <f t="shared" si="12"/>
        <v>631</v>
      </c>
      <c r="E33" s="1138">
        <f t="shared" si="12"/>
        <v>631</v>
      </c>
      <c r="F33" s="1138">
        <f t="shared" si="12"/>
        <v>653</v>
      </c>
      <c r="G33" s="1138">
        <f t="shared" si="12"/>
        <v>495</v>
      </c>
      <c r="H33" s="1138">
        <f t="shared" si="12"/>
        <v>762</v>
      </c>
      <c r="I33" s="1138">
        <f t="shared" si="12"/>
        <v>762</v>
      </c>
      <c r="J33" s="1138">
        <f t="shared" si="12"/>
        <v>424</v>
      </c>
      <c r="K33" s="1138">
        <f t="shared" si="12"/>
        <v>484</v>
      </c>
      <c r="L33" s="1138">
        <f t="shared" si="12"/>
        <v>0</v>
      </c>
    </row>
    <row r="34" spans="1:45" s="1157" customFormat="1" ht="30.75" customHeight="1">
      <c r="A34" s="1155"/>
      <c r="B34" s="1147" t="s">
        <v>1062</v>
      </c>
      <c r="C34" s="1138">
        <f>SUM(D34:L34)</f>
        <v>4842</v>
      </c>
      <c r="D34" s="1138">
        <v>631</v>
      </c>
      <c r="E34" s="1138">
        <v>631</v>
      </c>
      <c r="F34" s="1138">
        <v>653</v>
      </c>
      <c r="G34" s="1138">
        <v>495</v>
      </c>
      <c r="H34" s="1138">
        <v>762</v>
      </c>
      <c r="I34" s="1138">
        <v>762</v>
      </c>
      <c r="J34" s="1138">
        <v>424</v>
      </c>
      <c r="K34" s="1138">
        <v>484</v>
      </c>
      <c r="L34" s="1138"/>
    </row>
    <row r="35" spans="1:45" s="1159" customFormat="1" ht="30.75" hidden="1" customHeight="1">
      <c r="A35" s="1158"/>
      <c r="B35" s="1149" t="s">
        <v>1065</v>
      </c>
      <c r="C35" s="1150">
        <f>D35+E35+F35+G35+H35+I35+J35+K35+L35</f>
        <v>0</v>
      </c>
      <c r="D35" s="1150"/>
      <c r="E35" s="1150"/>
      <c r="F35" s="1150"/>
      <c r="G35" s="1150"/>
      <c r="H35" s="1150"/>
      <c r="I35" s="1150"/>
      <c r="J35" s="1150"/>
      <c r="K35" s="1150"/>
      <c r="L35" s="1150"/>
    </row>
    <row r="36" spans="1:45" s="1145" customFormat="1" ht="54" customHeight="1">
      <c r="A36" s="1142">
        <v>4</v>
      </c>
      <c r="B36" s="1143" t="s">
        <v>1073</v>
      </c>
      <c r="C36" s="1134">
        <f>D36+E36+F36+G36+H36+I36+J36+K36+L36</f>
        <v>62887</v>
      </c>
      <c r="D36" s="1134">
        <f t="shared" ref="D36:L36" si="13">D43+D50+D53</f>
        <v>5477</v>
      </c>
      <c r="E36" s="1134">
        <f t="shared" si="13"/>
        <v>5477</v>
      </c>
      <c r="F36" s="1134">
        <f t="shared" si="13"/>
        <v>4272</v>
      </c>
      <c r="G36" s="1134">
        <f t="shared" si="13"/>
        <v>3700</v>
      </c>
      <c r="H36" s="1134">
        <f t="shared" si="13"/>
        <v>4379</v>
      </c>
      <c r="I36" s="1134">
        <f t="shared" si="13"/>
        <v>4486</v>
      </c>
      <c r="J36" s="1134">
        <f t="shared" si="13"/>
        <v>1090</v>
      </c>
      <c r="K36" s="1134">
        <f t="shared" si="13"/>
        <v>8297</v>
      </c>
      <c r="L36" s="1134">
        <f t="shared" si="13"/>
        <v>25709</v>
      </c>
    </row>
    <row r="37" spans="1:45" s="1120" customFormat="1" ht="30" customHeight="1">
      <c r="A37" s="1146" t="s">
        <v>467</v>
      </c>
      <c r="B37" s="1147" t="s">
        <v>1068</v>
      </c>
      <c r="C37" s="1138">
        <f t="shared" ref="C37:L37" si="14">C38+C39</f>
        <v>62187</v>
      </c>
      <c r="D37" s="1138">
        <f t="shared" si="14"/>
        <v>5477</v>
      </c>
      <c r="E37" s="1138">
        <f t="shared" si="14"/>
        <v>5477</v>
      </c>
      <c r="F37" s="1138">
        <f t="shared" si="14"/>
        <v>4272</v>
      </c>
      <c r="G37" s="1138">
        <f t="shared" si="14"/>
        <v>3700</v>
      </c>
      <c r="H37" s="1138">
        <f t="shared" si="14"/>
        <v>4379</v>
      </c>
      <c r="I37" s="1138">
        <f t="shared" si="14"/>
        <v>4486</v>
      </c>
      <c r="J37" s="1138">
        <f t="shared" si="14"/>
        <v>1090</v>
      </c>
      <c r="K37" s="1138">
        <f t="shared" si="14"/>
        <v>8175</v>
      </c>
      <c r="L37" s="1138">
        <f t="shared" si="14"/>
        <v>25131</v>
      </c>
    </row>
    <row r="38" spans="1:45" s="1120" customFormat="1" ht="30" customHeight="1">
      <c r="A38" s="1146"/>
      <c r="B38" s="1137" t="s">
        <v>1063</v>
      </c>
      <c r="C38" s="1138">
        <f>C45+C55</f>
        <v>23331</v>
      </c>
      <c r="D38" s="1138"/>
      <c r="E38" s="1138"/>
      <c r="F38" s="1138"/>
      <c r="G38" s="1138"/>
      <c r="H38" s="1138"/>
      <c r="I38" s="1138"/>
      <c r="J38" s="1138"/>
      <c r="K38" s="1138">
        <f>K45+K55</f>
        <v>4065</v>
      </c>
      <c r="L38" s="1138">
        <f>L45+L55</f>
        <v>19266</v>
      </c>
    </row>
    <row r="39" spans="1:45" s="1120" customFormat="1" ht="30" customHeight="1">
      <c r="A39" s="1146"/>
      <c r="B39" s="1137" t="s">
        <v>1064</v>
      </c>
      <c r="C39" s="1138">
        <f t="shared" ref="C39:L39" si="15">C46+C51+C56</f>
        <v>38856</v>
      </c>
      <c r="D39" s="1138">
        <f t="shared" si="15"/>
        <v>5477</v>
      </c>
      <c r="E39" s="1138">
        <f t="shared" si="15"/>
        <v>5477</v>
      </c>
      <c r="F39" s="1138">
        <f t="shared" si="15"/>
        <v>4272</v>
      </c>
      <c r="G39" s="1138">
        <f t="shared" si="15"/>
        <v>3700</v>
      </c>
      <c r="H39" s="1138">
        <f t="shared" si="15"/>
        <v>4379</v>
      </c>
      <c r="I39" s="1138">
        <f t="shared" si="15"/>
        <v>4486</v>
      </c>
      <c r="J39" s="1138">
        <f t="shared" si="15"/>
        <v>1090</v>
      </c>
      <c r="K39" s="1138">
        <f t="shared" si="15"/>
        <v>4110</v>
      </c>
      <c r="L39" s="1138">
        <f t="shared" si="15"/>
        <v>5865</v>
      </c>
    </row>
    <row r="40" spans="1:45" s="1120" customFormat="1" ht="30" customHeight="1">
      <c r="A40" s="1146" t="s">
        <v>468</v>
      </c>
      <c r="B40" s="1137" t="s">
        <v>1065</v>
      </c>
      <c r="C40" s="1138">
        <f>C41+C42</f>
        <v>700</v>
      </c>
      <c r="D40" s="1138"/>
      <c r="E40" s="1138"/>
      <c r="F40" s="1138"/>
      <c r="G40" s="1138"/>
      <c r="H40" s="1138"/>
      <c r="I40" s="1138"/>
      <c r="J40" s="1138"/>
      <c r="K40" s="1138">
        <f>K41+K42</f>
        <v>122</v>
      </c>
      <c r="L40" s="1138">
        <f>L41+L42</f>
        <v>578</v>
      </c>
    </row>
    <row r="41" spans="1:45" s="1145" customFormat="1" ht="30" customHeight="1">
      <c r="A41" s="1142"/>
      <c r="B41" s="1137" t="s">
        <v>1063</v>
      </c>
      <c r="C41" s="1138">
        <f>C48+C58</f>
        <v>700</v>
      </c>
      <c r="D41" s="1138"/>
      <c r="E41" s="1138"/>
      <c r="F41" s="1138"/>
      <c r="G41" s="1138"/>
      <c r="H41" s="1138"/>
      <c r="I41" s="1138"/>
      <c r="J41" s="1138"/>
      <c r="K41" s="1138">
        <f>K48+K58</f>
        <v>122</v>
      </c>
      <c r="L41" s="1138">
        <v>578</v>
      </c>
    </row>
    <row r="42" spans="1:45" s="1154" customFormat="1" ht="30" hidden="1" customHeight="1">
      <c r="A42" s="1152"/>
      <c r="B42" s="1149" t="s">
        <v>1064</v>
      </c>
      <c r="C42" s="1150">
        <f t="shared" ref="C42:L42" si="16">C49+C52+C59</f>
        <v>0</v>
      </c>
      <c r="D42" s="1150">
        <f t="shared" si="16"/>
        <v>0</v>
      </c>
      <c r="E42" s="1150">
        <f t="shared" si="16"/>
        <v>0</v>
      </c>
      <c r="F42" s="1150">
        <f t="shared" si="16"/>
        <v>0</v>
      </c>
      <c r="G42" s="1150">
        <f t="shared" si="16"/>
        <v>0</v>
      </c>
      <c r="H42" s="1150">
        <f t="shared" si="16"/>
        <v>0</v>
      </c>
      <c r="I42" s="1150">
        <f t="shared" si="16"/>
        <v>0</v>
      </c>
      <c r="J42" s="1150">
        <f t="shared" si="16"/>
        <v>0</v>
      </c>
      <c r="K42" s="1150">
        <f t="shared" si="16"/>
        <v>0</v>
      </c>
      <c r="L42" s="1150">
        <f t="shared" si="16"/>
        <v>0</v>
      </c>
    </row>
    <row r="43" spans="1:45" s="1157" customFormat="1" ht="46.5" customHeight="1">
      <c r="A43" s="1155" t="s">
        <v>199</v>
      </c>
      <c r="B43" s="1156" t="s">
        <v>1074</v>
      </c>
      <c r="C43" s="1138">
        <f>D43+E43+F43+G43+H43+I43+J43+K43+L43</f>
        <v>49171</v>
      </c>
      <c r="D43" s="1138">
        <f t="shared" ref="D43:L43" si="17">D44+D47</f>
        <v>3890</v>
      </c>
      <c r="E43" s="1138">
        <f t="shared" si="17"/>
        <v>3890</v>
      </c>
      <c r="F43" s="1138">
        <f t="shared" si="17"/>
        <v>3614</v>
      </c>
      <c r="G43" s="1138">
        <f t="shared" si="17"/>
        <v>3148</v>
      </c>
      <c r="H43" s="1138">
        <f t="shared" si="17"/>
        <v>3772</v>
      </c>
      <c r="I43" s="1138">
        <f t="shared" si="17"/>
        <v>3875</v>
      </c>
      <c r="J43" s="1138">
        <f t="shared" si="17"/>
        <v>979</v>
      </c>
      <c r="K43" s="1138">
        <f t="shared" si="17"/>
        <v>294</v>
      </c>
      <c r="L43" s="1138">
        <f t="shared" si="17"/>
        <v>25709</v>
      </c>
      <c r="AS43" s="1160"/>
    </row>
    <row r="44" spans="1:45" s="1157" customFormat="1" ht="40.5" customHeight="1">
      <c r="A44" s="1146" t="s">
        <v>467</v>
      </c>
      <c r="B44" s="1147" t="s">
        <v>1068</v>
      </c>
      <c r="C44" s="1138">
        <f t="shared" ref="C44:L44" si="18">C45+C46</f>
        <v>48593</v>
      </c>
      <c r="D44" s="1138">
        <f t="shared" si="18"/>
        <v>3890</v>
      </c>
      <c r="E44" s="1138">
        <f t="shared" si="18"/>
        <v>3890</v>
      </c>
      <c r="F44" s="1138">
        <f t="shared" si="18"/>
        <v>3614</v>
      </c>
      <c r="G44" s="1138">
        <f t="shared" si="18"/>
        <v>3148</v>
      </c>
      <c r="H44" s="1138">
        <f t="shared" si="18"/>
        <v>3772</v>
      </c>
      <c r="I44" s="1138">
        <f t="shared" si="18"/>
        <v>3875</v>
      </c>
      <c r="J44" s="1138">
        <f t="shared" si="18"/>
        <v>979</v>
      </c>
      <c r="K44" s="1138">
        <f t="shared" si="18"/>
        <v>294</v>
      </c>
      <c r="L44" s="1138">
        <f t="shared" si="18"/>
        <v>25131</v>
      </c>
    </row>
    <row r="45" spans="1:45" s="1157" customFormat="1" ht="40.5" customHeight="1">
      <c r="A45" s="1146"/>
      <c r="B45" s="1137" t="s">
        <v>1063</v>
      </c>
      <c r="C45" s="1138">
        <f>SUM(D45:L45)</f>
        <v>19266</v>
      </c>
      <c r="D45" s="1138"/>
      <c r="E45" s="1138"/>
      <c r="F45" s="1138"/>
      <c r="G45" s="1138"/>
      <c r="H45" s="1138"/>
      <c r="I45" s="1138"/>
      <c r="J45" s="1138"/>
      <c r="K45" s="1138"/>
      <c r="L45" s="1138">
        <v>19266</v>
      </c>
    </row>
    <row r="46" spans="1:45" s="1157" customFormat="1" ht="40.5" customHeight="1">
      <c r="A46" s="1146"/>
      <c r="B46" s="1137" t="s">
        <v>1064</v>
      </c>
      <c r="C46" s="1138">
        <f>SUM(D46:L46)</f>
        <v>29327</v>
      </c>
      <c r="D46" s="1138">
        <v>3890</v>
      </c>
      <c r="E46" s="1138">
        <v>3890</v>
      </c>
      <c r="F46" s="1138">
        <v>3614</v>
      </c>
      <c r="G46" s="1138">
        <v>3148</v>
      </c>
      <c r="H46" s="1138">
        <v>3772</v>
      </c>
      <c r="I46" s="1138">
        <v>3875</v>
      </c>
      <c r="J46" s="1138">
        <v>979</v>
      </c>
      <c r="K46" s="1138">
        <v>294</v>
      </c>
      <c r="L46" s="1138">
        <v>5865</v>
      </c>
    </row>
    <row r="47" spans="1:45" s="1159" customFormat="1" ht="40.5" customHeight="1">
      <c r="A47" s="1148" t="s">
        <v>468</v>
      </c>
      <c r="B47" s="1149" t="s">
        <v>1065</v>
      </c>
      <c r="C47" s="1150">
        <f>C48+C49</f>
        <v>578</v>
      </c>
      <c r="D47" s="1150"/>
      <c r="E47" s="1150"/>
      <c r="F47" s="1150"/>
      <c r="G47" s="1150"/>
      <c r="H47" s="1150"/>
      <c r="I47" s="1150"/>
      <c r="J47" s="1150"/>
      <c r="K47" s="1150"/>
      <c r="L47" s="1150">
        <f>L48+L49</f>
        <v>578</v>
      </c>
    </row>
    <row r="48" spans="1:45" s="1159" customFormat="1" ht="40.5" customHeight="1">
      <c r="A48" s="1152"/>
      <c r="B48" s="1149" t="s">
        <v>1063</v>
      </c>
      <c r="C48" s="1150">
        <f>SUM(D48:L48)</f>
        <v>578</v>
      </c>
      <c r="D48" s="1150"/>
      <c r="E48" s="1150"/>
      <c r="F48" s="1150"/>
      <c r="G48" s="1150"/>
      <c r="H48" s="1150"/>
      <c r="I48" s="1150"/>
      <c r="J48" s="1150"/>
      <c r="K48" s="1150"/>
      <c r="L48" s="1161">
        <v>578</v>
      </c>
    </row>
    <row r="49" spans="1:48" s="1159" customFormat="1" ht="40.5" hidden="1" customHeight="1">
      <c r="A49" s="1152"/>
      <c r="B49" s="1149" t="s">
        <v>1064</v>
      </c>
      <c r="C49" s="1150">
        <f>SUM(D49:L49)</f>
        <v>0</v>
      </c>
      <c r="D49" s="1150"/>
      <c r="E49" s="1150"/>
      <c r="F49" s="1150"/>
      <c r="G49" s="1150"/>
      <c r="H49" s="1150"/>
      <c r="I49" s="1150"/>
      <c r="J49" s="1150"/>
      <c r="K49" s="1150"/>
      <c r="L49" s="1150"/>
    </row>
    <row r="50" spans="1:48" s="1157" customFormat="1" ht="45.75" customHeight="1">
      <c r="A50" s="1155" t="s">
        <v>491</v>
      </c>
      <c r="B50" s="1156" t="s">
        <v>1075</v>
      </c>
      <c r="C50" s="1138">
        <f>C51+C52</f>
        <v>1898</v>
      </c>
      <c r="D50" s="1138">
        <f>D51+D52</f>
        <v>949</v>
      </c>
      <c r="E50" s="1138">
        <f>E51+E52</f>
        <v>949</v>
      </c>
      <c r="F50" s="1138"/>
      <c r="G50" s="1138"/>
      <c r="H50" s="1138"/>
      <c r="I50" s="1138"/>
      <c r="J50" s="1138"/>
      <c r="K50" s="1138"/>
      <c r="L50" s="1138"/>
      <c r="S50" s="1157">
        <v>371.08131672597864</v>
      </c>
    </row>
    <row r="51" spans="1:48" s="1157" customFormat="1" ht="30" customHeight="1">
      <c r="A51" s="1155"/>
      <c r="B51" s="1156" t="s">
        <v>1062</v>
      </c>
      <c r="C51" s="1138">
        <f>SUM(D51:L51)</f>
        <v>1898</v>
      </c>
      <c r="D51" s="1138">
        <v>949</v>
      </c>
      <c r="E51" s="1138">
        <v>949</v>
      </c>
      <c r="F51" s="1162"/>
      <c r="G51" s="1138"/>
      <c r="H51" s="1138"/>
      <c r="I51" s="1138"/>
      <c r="J51" s="1138"/>
      <c r="K51" s="1138"/>
      <c r="L51" s="1138"/>
    </row>
    <row r="52" spans="1:48" s="1159" customFormat="1" ht="30" hidden="1" customHeight="1">
      <c r="A52" s="1158"/>
      <c r="B52" s="1163" t="s">
        <v>1065</v>
      </c>
      <c r="C52" s="1150"/>
      <c r="D52" s="1150"/>
      <c r="E52" s="1150"/>
      <c r="F52" s="1164"/>
      <c r="G52" s="1150"/>
      <c r="H52" s="1150"/>
      <c r="I52" s="1150"/>
      <c r="J52" s="1150"/>
      <c r="K52" s="1150"/>
      <c r="L52" s="1150"/>
    </row>
    <row r="53" spans="1:48" s="1157" customFormat="1" ht="30" customHeight="1">
      <c r="A53" s="1155" t="s">
        <v>492</v>
      </c>
      <c r="B53" s="1156" t="s">
        <v>1076</v>
      </c>
      <c r="C53" s="1138">
        <f t="shared" ref="C53:K53" si="19">C54+C57</f>
        <v>11818</v>
      </c>
      <c r="D53" s="1138">
        <f t="shared" si="19"/>
        <v>638</v>
      </c>
      <c r="E53" s="1138">
        <f t="shared" si="19"/>
        <v>638</v>
      </c>
      <c r="F53" s="1138">
        <f t="shared" si="19"/>
        <v>658</v>
      </c>
      <c r="G53" s="1138">
        <f t="shared" si="19"/>
        <v>552</v>
      </c>
      <c r="H53" s="1138">
        <f t="shared" si="19"/>
        <v>607</v>
      </c>
      <c r="I53" s="1138">
        <f t="shared" si="19"/>
        <v>611</v>
      </c>
      <c r="J53" s="1138">
        <f t="shared" si="19"/>
        <v>111</v>
      </c>
      <c r="K53" s="1138">
        <f t="shared" si="19"/>
        <v>8003</v>
      </c>
      <c r="L53" s="1138"/>
      <c r="S53" s="1157">
        <v>371.08131672597864</v>
      </c>
      <c r="AE53" s="1454" t="s">
        <v>1077</v>
      </c>
      <c r="AF53" s="1454"/>
      <c r="AG53" s="1454"/>
      <c r="AH53" s="1453" t="s">
        <v>1078</v>
      </c>
      <c r="AI53" s="1453"/>
      <c r="AJ53" s="1453"/>
      <c r="AK53" s="1453" t="s">
        <v>102</v>
      </c>
      <c r="AL53" s="1453"/>
      <c r="AM53" s="1453"/>
      <c r="AN53" s="1453" t="s">
        <v>1079</v>
      </c>
      <c r="AO53" s="1453"/>
      <c r="AP53" s="1453"/>
      <c r="AQ53" s="1453" t="s">
        <v>1078</v>
      </c>
      <c r="AR53" s="1453"/>
      <c r="AS53" s="1453"/>
      <c r="AT53" s="1453" t="s">
        <v>102</v>
      </c>
      <c r="AU53" s="1453"/>
      <c r="AV53" s="1453"/>
    </row>
    <row r="54" spans="1:48" s="1157" customFormat="1" ht="30" customHeight="1">
      <c r="A54" s="1146" t="s">
        <v>467</v>
      </c>
      <c r="B54" s="1147" t="s">
        <v>1068</v>
      </c>
      <c r="C54" s="1138">
        <f t="shared" ref="C54:K54" si="20">C55+C56</f>
        <v>11696</v>
      </c>
      <c r="D54" s="1138">
        <f t="shared" si="20"/>
        <v>638</v>
      </c>
      <c r="E54" s="1138">
        <f t="shared" si="20"/>
        <v>638</v>
      </c>
      <c r="F54" s="1138">
        <f t="shared" si="20"/>
        <v>658</v>
      </c>
      <c r="G54" s="1138">
        <f t="shared" si="20"/>
        <v>552</v>
      </c>
      <c r="H54" s="1138">
        <f t="shared" si="20"/>
        <v>607</v>
      </c>
      <c r="I54" s="1138">
        <f t="shared" si="20"/>
        <v>611</v>
      </c>
      <c r="J54" s="1138">
        <f t="shared" si="20"/>
        <v>111</v>
      </c>
      <c r="K54" s="1138">
        <f t="shared" si="20"/>
        <v>7881</v>
      </c>
      <c r="L54" s="1138"/>
      <c r="AE54" s="1165"/>
      <c r="AF54" s="1165"/>
      <c r="AG54" s="1165"/>
      <c r="AH54" s="1166"/>
      <c r="AI54" s="1166"/>
      <c r="AJ54" s="1166"/>
      <c r="AK54" s="1166"/>
      <c r="AL54" s="1166"/>
      <c r="AM54" s="1166"/>
      <c r="AN54" s="1166"/>
      <c r="AO54" s="1166"/>
      <c r="AP54" s="1166"/>
      <c r="AQ54" s="1166"/>
      <c r="AR54" s="1166"/>
      <c r="AS54" s="1166"/>
      <c r="AT54" s="1166"/>
      <c r="AU54" s="1166"/>
      <c r="AV54" s="1166"/>
    </row>
    <row r="55" spans="1:48" s="1157" customFormat="1" ht="30" customHeight="1">
      <c r="A55" s="1146"/>
      <c r="B55" s="1137" t="s">
        <v>1063</v>
      </c>
      <c r="C55" s="1138">
        <f>SUM(D55:L55)</f>
        <v>4065</v>
      </c>
      <c r="D55" s="1138"/>
      <c r="E55" s="1138"/>
      <c r="F55" s="1138"/>
      <c r="G55" s="1138"/>
      <c r="H55" s="1138"/>
      <c r="I55" s="1138"/>
      <c r="J55" s="1138"/>
      <c r="K55" s="1138">
        <v>4065</v>
      </c>
      <c r="L55" s="1138"/>
      <c r="AE55" s="1165"/>
      <c r="AF55" s="1165"/>
      <c r="AG55" s="1165"/>
      <c r="AH55" s="1166"/>
      <c r="AI55" s="1166"/>
      <c r="AJ55" s="1166"/>
      <c r="AK55" s="1166"/>
      <c r="AL55" s="1166"/>
      <c r="AM55" s="1166"/>
      <c r="AN55" s="1166"/>
      <c r="AO55" s="1166"/>
      <c r="AP55" s="1166"/>
      <c r="AQ55" s="1166"/>
      <c r="AR55" s="1166"/>
      <c r="AS55" s="1166"/>
      <c r="AT55" s="1166"/>
      <c r="AU55" s="1166"/>
      <c r="AV55" s="1166"/>
    </row>
    <row r="56" spans="1:48" s="1157" customFormat="1" ht="30" customHeight="1">
      <c r="A56" s="1146"/>
      <c r="B56" s="1137" t="s">
        <v>1064</v>
      </c>
      <c r="C56" s="1138">
        <f>SUM(D56:L56)</f>
        <v>7631</v>
      </c>
      <c r="D56" s="1138">
        <v>638</v>
      </c>
      <c r="E56" s="1138">
        <v>638</v>
      </c>
      <c r="F56" s="1138">
        <v>658</v>
      </c>
      <c r="G56" s="1138">
        <v>552</v>
      </c>
      <c r="H56" s="1138">
        <v>607</v>
      </c>
      <c r="I56" s="1138">
        <v>611</v>
      </c>
      <c r="J56" s="1138">
        <v>111</v>
      </c>
      <c r="K56" s="1138">
        <v>3816</v>
      </c>
      <c r="L56" s="1138"/>
      <c r="AE56" s="1165"/>
      <c r="AF56" s="1165"/>
      <c r="AG56" s="1165"/>
      <c r="AH56" s="1166"/>
      <c r="AI56" s="1166"/>
      <c r="AJ56" s="1166"/>
      <c r="AK56" s="1166"/>
      <c r="AL56" s="1166"/>
      <c r="AM56" s="1166"/>
      <c r="AN56" s="1166"/>
      <c r="AO56" s="1166"/>
      <c r="AP56" s="1166"/>
      <c r="AQ56" s="1166"/>
      <c r="AR56" s="1166"/>
      <c r="AS56" s="1166"/>
      <c r="AT56" s="1166"/>
      <c r="AU56" s="1166"/>
      <c r="AV56" s="1166"/>
    </row>
    <row r="57" spans="1:48" s="1157" customFormat="1" ht="30" customHeight="1">
      <c r="A57" s="1146" t="s">
        <v>468</v>
      </c>
      <c r="B57" s="1137" t="s">
        <v>1065</v>
      </c>
      <c r="C57" s="1138">
        <f>SUM(D57:L57)</f>
        <v>122</v>
      </c>
      <c r="D57" s="1138"/>
      <c r="E57" s="1138"/>
      <c r="F57" s="1138"/>
      <c r="G57" s="1138"/>
      <c r="H57" s="1138"/>
      <c r="I57" s="1138"/>
      <c r="J57" s="1138"/>
      <c r="K57" s="1138">
        <f>K58+K59</f>
        <v>122</v>
      </c>
      <c r="L57" s="1138"/>
      <c r="AE57" s="1165"/>
      <c r="AF57" s="1165"/>
      <c r="AG57" s="1165"/>
      <c r="AH57" s="1166"/>
      <c r="AI57" s="1166"/>
      <c r="AJ57" s="1166"/>
      <c r="AK57" s="1166"/>
      <c r="AL57" s="1166"/>
      <c r="AM57" s="1166"/>
      <c r="AN57" s="1166"/>
      <c r="AO57" s="1166"/>
      <c r="AP57" s="1166"/>
      <c r="AQ57" s="1166"/>
      <c r="AR57" s="1166"/>
      <c r="AS57" s="1166"/>
      <c r="AT57" s="1166"/>
      <c r="AU57" s="1166"/>
      <c r="AV57" s="1166"/>
    </row>
    <row r="58" spans="1:48" s="1157" customFormat="1" ht="30" customHeight="1">
      <c r="A58" s="1142"/>
      <c r="B58" s="1137" t="s">
        <v>1063</v>
      </c>
      <c r="C58" s="1138">
        <f>SUM(D58:L58)</f>
        <v>122</v>
      </c>
      <c r="D58" s="1138"/>
      <c r="E58" s="1138"/>
      <c r="F58" s="1138"/>
      <c r="G58" s="1138"/>
      <c r="H58" s="1138"/>
      <c r="I58" s="1138"/>
      <c r="J58" s="1138"/>
      <c r="K58" s="1161">
        <v>122</v>
      </c>
      <c r="L58" s="1161"/>
      <c r="AE58" s="1165"/>
      <c r="AF58" s="1165"/>
      <c r="AG58" s="1165"/>
      <c r="AH58" s="1166"/>
      <c r="AI58" s="1166"/>
      <c r="AJ58" s="1166"/>
      <c r="AK58" s="1166"/>
      <c r="AL58" s="1166"/>
      <c r="AM58" s="1166"/>
      <c r="AN58" s="1166"/>
      <c r="AO58" s="1166"/>
      <c r="AP58" s="1166"/>
      <c r="AQ58" s="1166"/>
      <c r="AR58" s="1166"/>
      <c r="AS58" s="1166"/>
      <c r="AT58" s="1166"/>
      <c r="AU58" s="1166"/>
      <c r="AV58" s="1166"/>
    </row>
    <row r="59" spans="1:48" s="1159" customFormat="1" ht="30" hidden="1" customHeight="1">
      <c r="A59" s="1152"/>
      <c r="B59" s="1149" t="s">
        <v>1064</v>
      </c>
      <c r="C59" s="1150">
        <f>SUM(D59:L59)</f>
        <v>0</v>
      </c>
      <c r="D59" s="1150"/>
      <c r="E59" s="1150"/>
      <c r="F59" s="1150"/>
      <c r="G59" s="1150"/>
      <c r="H59" s="1150"/>
      <c r="I59" s="1150"/>
      <c r="J59" s="1150"/>
      <c r="K59" s="1150"/>
      <c r="L59" s="1150"/>
      <c r="AE59" s="1167"/>
      <c r="AF59" s="1167"/>
      <c r="AG59" s="1167"/>
      <c r="AH59" s="1168"/>
      <c r="AI59" s="1168"/>
      <c r="AJ59" s="1168"/>
      <c r="AK59" s="1168"/>
      <c r="AL59" s="1168"/>
      <c r="AM59" s="1168"/>
      <c r="AN59" s="1168"/>
      <c r="AO59" s="1168"/>
      <c r="AP59" s="1168"/>
      <c r="AQ59" s="1168"/>
      <c r="AR59" s="1168"/>
      <c r="AS59" s="1168"/>
      <c r="AT59" s="1168"/>
      <c r="AU59" s="1168"/>
      <c r="AV59" s="1168"/>
    </row>
    <row r="60" spans="1:48" s="1145" customFormat="1" ht="51" customHeight="1">
      <c r="A60" s="1142">
        <v>5</v>
      </c>
      <c r="B60" s="1143" t="s">
        <v>1080</v>
      </c>
      <c r="C60" s="1134">
        <f>D60+E60+F60+G60+H60+I60+J60+K60+L60</f>
        <v>15425</v>
      </c>
      <c r="D60" s="1134">
        <f>D61+D62</f>
        <v>9325</v>
      </c>
      <c r="E60" s="1134">
        <f>E61+E62</f>
        <v>6100</v>
      </c>
      <c r="F60" s="1134"/>
      <c r="G60" s="1134"/>
      <c r="H60" s="1134"/>
      <c r="I60" s="1134"/>
      <c r="J60" s="1134"/>
      <c r="K60" s="1134"/>
      <c r="L60" s="1134"/>
      <c r="S60" s="1145">
        <v>383.87722419928821</v>
      </c>
      <c r="AF60" s="1120" t="s">
        <v>521</v>
      </c>
      <c r="AG60" s="1120" t="s">
        <v>503</v>
      </c>
      <c r="AI60" s="1120" t="s">
        <v>521</v>
      </c>
      <c r="AJ60" s="1120" t="s">
        <v>503</v>
      </c>
      <c r="AK60" s="1120"/>
      <c r="AL60" s="1120" t="s">
        <v>521</v>
      </c>
      <c r="AM60" s="1120" t="s">
        <v>503</v>
      </c>
      <c r="AO60" s="1120" t="s">
        <v>521</v>
      </c>
      <c r="AP60" s="1120" t="s">
        <v>503</v>
      </c>
      <c r="AR60" s="1120" t="s">
        <v>521</v>
      </c>
      <c r="AS60" s="1120" t="s">
        <v>503</v>
      </c>
      <c r="AT60" s="1120"/>
      <c r="AU60" s="1120" t="s">
        <v>521</v>
      </c>
      <c r="AV60" s="1120" t="s">
        <v>503</v>
      </c>
    </row>
    <row r="61" spans="1:48" s="1120" customFormat="1" ht="39" customHeight="1">
      <c r="A61" s="1146"/>
      <c r="B61" s="1147" t="s">
        <v>1062</v>
      </c>
      <c r="C61" s="1138">
        <f>SUM(D61:L61)</f>
        <v>12340</v>
      </c>
      <c r="D61" s="1138">
        <v>7460</v>
      </c>
      <c r="E61" s="1138">
        <v>4880</v>
      </c>
      <c r="F61" s="1138"/>
      <c r="G61" s="1138"/>
      <c r="H61" s="1138"/>
      <c r="I61" s="1138"/>
      <c r="J61" s="1138"/>
      <c r="K61" s="1138"/>
      <c r="L61" s="1138"/>
    </row>
    <row r="62" spans="1:48" s="1120" customFormat="1" ht="37.5" customHeight="1">
      <c r="A62" s="1146"/>
      <c r="B62" s="1147" t="s">
        <v>1065</v>
      </c>
      <c r="C62" s="1138">
        <f>SUM(D62:L62)</f>
        <v>3085</v>
      </c>
      <c r="D62" s="1138">
        <v>1865</v>
      </c>
      <c r="E62" s="1138">
        <v>1220</v>
      </c>
      <c r="F62" s="1138"/>
      <c r="G62" s="1138"/>
      <c r="H62" s="1138"/>
      <c r="I62" s="1138"/>
      <c r="J62" s="1138"/>
      <c r="K62" s="1138"/>
      <c r="L62" s="1138"/>
    </row>
    <row r="63" spans="1:48" s="1145" customFormat="1" ht="33.75" customHeight="1">
      <c r="A63" s="1142">
        <v>6</v>
      </c>
      <c r="B63" s="1143" t="s">
        <v>1081</v>
      </c>
      <c r="C63" s="1134">
        <f>D63+E63+F63+G63+H63+I63+J63+K63+L63</f>
        <v>6173</v>
      </c>
      <c r="D63" s="1134">
        <f t="shared" ref="D63:K63" si="21">D64+D65</f>
        <v>741</v>
      </c>
      <c r="E63" s="1134">
        <f t="shared" si="21"/>
        <v>741</v>
      </c>
      <c r="F63" s="1134">
        <f t="shared" si="21"/>
        <v>766</v>
      </c>
      <c r="G63" s="1134">
        <f t="shared" si="21"/>
        <v>554</v>
      </c>
      <c r="H63" s="1134">
        <f t="shared" si="21"/>
        <v>937</v>
      </c>
      <c r="I63" s="1134">
        <f t="shared" si="21"/>
        <v>937</v>
      </c>
      <c r="J63" s="1134">
        <f t="shared" si="21"/>
        <v>114</v>
      </c>
      <c r="K63" s="1134">
        <f t="shared" si="21"/>
        <v>1383</v>
      </c>
      <c r="L63" s="1134"/>
      <c r="S63" s="1145">
        <v>277.2446619217082</v>
      </c>
      <c r="AE63" s="1145">
        <f>AF63+AG63</f>
        <v>425</v>
      </c>
      <c r="AF63" s="1145">
        <f>AI63+AL63</f>
        <v>192</v>
      </c>
      <c r="AG63" s="1145">
        <f>AJ63+AM63</f>
        <v>233</v>
      </c>
      <c r="AH63" s="1145">
        <f>SUM(AI63:AJ63)</f>
        <v>162</v>
      </c>
      <c r="AI63" s="1145">
        <v>82</v>
      </c>
      <c r="AJ63" s="1145">
        <v>80</v>
      </c>
      <c r="AK63" s="1145">
        <f>SUM(AL63:AM63)</f>
        <v>263</v>
      </c>
      <c r="AL63" s="1145">
        <v>110</v>
      </c>
      <c r="AM63" s="1145">
        <v>153</v>
      </c>
      <c r="AN63" s="1145">
        <f>AO63+AP63</f>
        <v>12340</v>
      </c>
      <c r="AO63" s="1145">
        <f>AR63+AU63</f>
        <v>7680</v>
      </c>
      <c r="AP63" s="1145">
        <f>AS63+AV63</f>
        <v>4660</v>
      </c>
      <c r="AQ63" s="1145">
        <f>AR63+AS63</f>
        <v>4880</v>
      </c>
      <c r="AR63" s="1145">
        <f>AI63*40</f>
        <v>3280</v>
      </c>
      <c r="AS63" s="1145">
        <f>AJ63*20</f>
        <v>1600</v>
      </c>
      <c r="AT63" s="1145">
        <f>AU63+AV63</f>
        <v>7460</v>
      </c>
      <c r="AU63" s="1145">
        <f>AL63*40</f>
        <v>4400</v>
      </c>
      <c r="AV63" s="1145">
        <f>AM63*20</f>
        <v>3060</v>
      </c>
    </row>
    <row r="64" spans="1:48" s="1145" customFormat="1" ht="30" customHeight="1">
      <c r="A64" s="1142"/>
      <c r="B64" s="1147" t="s">
        <v>1062</v>
      </c>
      <c r="C64" s="1134">
        <f t="shared" ref="C64:K65" si="22">C67+C70</f>
        <v>6173</v>
      </c>
      <c r="D64" s="1134">
        <f t="shared" si="22"/>
        <v>741</v>
      </c>
      <c r="E64" s="1134">
        <f t="shared" si="22"/>
        <v>741</v>
      </c>
      <c r="F64" s="1134">
        <f t="shared" si="22"/>
        <v>766</v>
      </c>
      <c r="G64" s="1134">
        <f t="shared" si="22"/>
        <v>554</v>
      </c>
      <c r="H64" s="1134">
        <f t="shared" si="22"/>
        <v>937</v>
      </c>
      <c r="I64" s="1134">
        <f t="shared" si="22"/>
        <v>937</v>
      </c>
      <c r="J64" s="1134">
        <f t="shared" si="22"/>
        <v>114</v>
      </c>
      <c r="K64" s="1134">
        <f t="shared" si="22"/>
        <v>1383</v>
      </c>
      <c r="L64" s="1134"/>
    </row>
    <row r="65" spans="1:19" s="1145" customFormat="1" ht="30" hidden="1" customHeight="1">
      <c r="A65" s="1142"/>
      <c r="B65" s="1147" t="s">
        <v>1065</v>
      </c>
      <c r="C65" s="1134">
        <f t="shared" si="22"/>
        <v>0</v>
      </c>
      <c r="D65" s="1134">
        <f t="shared" si="22"/>
        <v>0</v>
      </c>
      <c r="E65" s="1134">
        <f t="shared" si="22"/>
        <v>0</v>
      </c>
      <c r="F65" s="1134">
        <f t="shared" si="22"/>
        <v>0</v>
      </c>
      <c r="G65" s="1134">
        <f t="shared" si="22"/>
        <v>0</v>
      </c>
      <c r="H65" s="1134">
        <f t="shared" si="22"/>
        <v>0</v>
      </c>
      <c r="I65" s="1134">
        <f t="shared" si="22"/>
        <v>0</v>
      </c>
      <c r="J65" s="1134">
        <f t="shared" si="22"/>
        <v>0</v>
      </c>
      <c r="K65" s="1134">
        <f t="shared" si="22"/>
        <v>0</v>
      </c>
      <c r="L65" s="1134"/>
    </row>
    <row r="66" spans="1:19" s="1157" customFormat="1" ht="30" customHeight="1">
      <c r="A66" s="1155" t="s">
        <v>193</v>
      </c>
      <c r="B66" s="1156" t="s">
        <v>1082</v>
      </c>
      <c r="C66" s="1138">
        <f t="shared" ref="C66:C76" si="23">D66+E66+F66+G66+H66+I66+J66+K66+L66</f>
        <v>2446</v>
      </c>
      <c r="D66" s="1138">
        <f t="shared" ref="D66:K66" si="24">D67+D68</f>
        <v>370</v>
      </c>
      <c r="E66" s="1138">
        <f t="shared" si="24"/>
        <v>370</v>
      </c>
      <c r="F66" s="1138">
        <f t="shared" si="24"/>
        <v>383</v>
      </c>
      <c r="G66" s="1138">
        <f t="shared" si="24"/>
        <v>277</v>
      </c>
      <c r="H66" s="1138">
        <f t="shared" si="24"/>
        <v>468</v>
      </c>
      <c r="I66" s="1138">
        <f t="shared" si="24"/>
        <v>468</v>
      </c>
      <c r="J66" s="1138">
        <f t="shared" si="24"/>
        <v>57</v>
      </c>
      <c r="K66" s="1138">
        <f t="shared" si="24"/>
        <v>53</v>
      </c>
      <c r="L66" s="1138"/>
      <c r="S66" s="1157">
        <v>469.1832740213523</v>
      </c>
    </row>
    <row r="67" spans="1:19" s="1157" customFormat="1" ht="30" customHeight="1">
      <c r="A67" s="1155"/>
      <c r="B67" s="1147" t="s">
        <v>1062</v>
      </c>
      <c r="C67" s="1138">
        <f t="shared" si="23"/>
        <v>2446</v>
      </c>
      <c r="D67" s="1138">
        <v>370</v>
      </c>
      <c r="E67" s="1138">
        <v>370</v>
      </c>
      <c r="F67" s="1138">
        <v>383</v>
      </c>
      <c r="G67" s="1138">
        <v>277</v>
      </c>
      <c r="H67" s="1138">
        <v>468</v>
      </c>
      <c r="I67" s="1138">
        <v>468</v>
      </c>
      <c r="J67" s="1138">
        <v>57</v>
      </c>
      <c r="K67" s="1138">
        <v>53</v>
      </c>
      <c r="L67" s="1138"/>
    </row>
    <row r="68" spans="1:19" s="1159" customFormat="1" ht="30" hidden="1" customHeight="1">
      <c r="A68" s="1158"/>
      <c r="B68" s="1149" t="s">
        <v>1065</v>
      </c>
      <c r="C68" s="1150">
        <f t="shared" si="23"/>
        <v>0</v>
      </c>
      <c r="D68" s="1150"/>
      <c r="E68" s="1150"/>
      <c r="F68" s="1150"/>
      <c r="G68" s="1150"/>
      <c r="H68" s="1150"/>
      <c r="I68" s="1150"/>
      <c r="J68" s="1150"/>
      <c r="K68" s="1150"/>
      <c r="L68" s="1150"/>
    </row>
    <row r="69" spans="1:19" s="1157" customFormat="1" ht="30" customHeight="1">
      <c r="A69" s="1155" t="s">
        <v>504</v>
      </c>
      <c r="B69" s="1156" t="s">
        <v>1083</v>
      </c>
      <c r="C69" s="1138">
        <f t="shared" si="23"/>
        <v>3727</v>
      </c>
      <c r="D69" s="1138">
        <f t="shared" ref="D69:K69" si="25">D70+D71</f>
        <v>371</v>
      </c>
      <c r="E69" s="1138">
        <f t="shared" si="25"/>
        <v>371</v>
      </c>
      <c r="F69" s="1138">
        <f t="shared" si="25"/>
        <v>383</v>
      </c>
      <c r="G69" s="1138">
        <f t="shared" si="25"/>
        <v>277</v>
      </c>
      <c r="H69" s="1138">
        <f t="shared" si="25"/>
        <v>469</v>
      </c>
      <c r="I69" s="1138">
        <f t="shared" si="25"/>
        <v>469</v>
      </c>
      <c r="J69" s="1138">
        <f t="shared" si="25"/>
        <v>57</v>
      </c>
      <c r="K69" s="1138">
        <f t="shared" si="25"/>
        <v>1330</v>
      </c>
      <c r="L69" s="1138"/>
      <c r="M69" s="1157">
        <v>2772</v>
      </c>
      <c r="S69" s="1157">
        <v>469.1832740213523</v>
      </c>
    </row>
    <row r="70" spans="1:19" s="1157" customFormat="1" ht="30" customHeight="1">
      <c r="A70" s="1155"/>
      <c r="B70" s="1147" t="s">
        <v>1062</v>
      </c>
      <c r="C70" s="1138">
        <f t="shared" si="23"/>
        <v>3727</v>
      </c>
      <c r="D70" s="1138">
        <v>371</v>
      </c>
      <c r="E70" s="1138">
        <v>371</v>
      </c>
      <c r="F70" s="1138">
        <v>383</v>
      </c>
      <c r="G70" s="1138">
        <v>277</v>
      </c>
      <c r="H70" s="1138">
        <v>469</v>
      </c>
      <c r="I70" s="1138">
        <v>469</v>
      </c>
      <c r="J70" s="1138">
        <v>57</v>
      </c>
      <c r="K70" s="1138">
        <v>1330</v>
      </c>
      <c r="L70" s="1138"/>
    </row>
    <row r="71" spans="1:19" s="1159" customFormat="1" ht="30" hidden="1" customHeight="1">
      <c r="A71" s="1158"/>
      <c r="B71" s="1149" t="s">
        <v>1065</v>
      </c>
      <c r="C71" s="1150">
        <f t="shared" si="23"/>
        <v>0</v>
      </c>
      <c r="D71" s="1150"/>
      <c r="E71" s="1150"/>
      <c r="F71" s="1150"/>
      <c r="G71" s="1150"/>
      <c r="H71" s="1150"/>
      <c r="I71" s="1150"/>
      <c r="J71" s="1150"/>
      <c r="K71" s="1150"/>
      <c r="L71" s="1150"/>
    </row>
    <row r="72" spans="1:19" s="1145" customFormat="1" ht="46.5" customHeight="1">
      <c r="A72" s="1142">
        <v>7</v>
      </c>
      <c r="B72" s="1143" t="s">
        <v>1084</v>
      </c>
      <c r="C72" s="1134">
        <f t="shared" si="23"/>
        <v>9554</v>
      </c>
      <c r="D72" s="1134">
        <f t="shared" ref="D72:K73" si="26">D75+D78</f>
        <v>1308</v>
      </c>
      <c r="E72" s="1134">
        <f t="shared" si="26"/>
        <v>1308</v>
      </c>
      <c r="F72" s="1134">
        <f t="shared" si="26"/>
        <v>1354</v>
      </c>
      <c r="G72" s="1134">
        <f t="shared" si="26"/>
        <v>978</v>
      </c>
      <c r="H72" s="1134">
        <f t="shared" si="26"/>
        <v>1654</v>
      </c>
      <c r="I72" s="1134">
        <f t="shared" si="26"/>
        <v>1654</v>
      </c>
      <c r="J72" s="1134">
        <f t="shared" si="26"/>
        <v>199</v>
      </c>
      <c r="K72" s="1134">
        <f t="shared" si="26"/>
        <v>1099</v>
      </c>
      <c r="L72" s="1134"/>
      <c r="S72" s="1145">
        <v>55.448932384341639</v>
      </c>
    </row>
    <row r="73" spans="1:19" s="1145" customFormat="1" ht="30" customHeight="1">
      <c r="A73" s="1142"/>
      <c r="B73" s="1147" t="s">
        <v>1062</v>
      </c>
      <c r="C73" s="1134">
        <f t="shared" si="23"/>
        <v>9554</v>
      </c>
      <c r="D73" s="1134">
        <f t="shared" si="26"/>
        <v>1308</v>
      </c>
      <c r="E73" s="1134">
        <f t="shared" si="26"/>
        <v>1308</v>
      </c>
      <c r="F73" s="1134">
        <f t="shared" si="26"/>
        <v>1354</v>
      </c>
      <c r="G73" s="1134">
        <f t="shared" si="26"/>
        <v>978</v>
      </c>
      <c r="H73" s="1134">
        <f t="shared" si="26"/>
        <v>1654</v>
      </c>
      <c r="I73" s="1134">
        <f t="shared" si="26"/>
        <v>1654</v>
      </c>
      <c r="J73" s="1134">
        <f t="shared" si="26"/>
        <v>199</v>
      </c>
      <c r="K73" s="1134">
        <f t="shared" si="26"/>
        <v>1099</v>
      </c>
      <c r="L73" s="1134"/>
    </row>
    <row r="74" spans="1:19" s="1154" customFormat="1" ht="30" hidden="1" customHeight="1">
      <c r="A74" s="1152"/>
      <c r="B74" s="1149" t="s">
        <v>1065</v>
      </c>
      <c r="C74" s="1153">
        <f t="shared" si="23"/>
        <v>0</v>
      </c>
      <c r="D74" s="1153"/>
      <c r="E74" s="1153"/>
      <c r="F74" s="1153"/>
      <c r="G74" s="1153"/>
      <c r="H74" s="1153"/>
      <c r="I74" s="1153"/>
      <c r="J74" s="1153"/>
      <c r="K74" s="1153"/>
      <c r="L74" s="1153"/>
    </row>
    <row r="75" spans="1:19" s="1157" customFormat="1" ht="44.25" customHeight="1">
      <c r="A75" s="1155" t="s">
        <v>333</v>
      </c>
      <c r="B75" s="1156" t="s">
        <v>1085</v>
      </c>
      <c r="C75" s="1138">
        <f t="shared" si="23"/>
        <v>6225</v>
      </c>
      <c r="D75" s="1138">
        <f t="shared" ref="D75:K75" si="27">D76+D77</f>
        <v>940</v>
      </c>
      <c r="E75" s="1138">
        <f t="shared" si="27"/>
        <v>940</v>
      </c>
      <c r="F75" s="1138">
        <f t="shared" si="27"/>
        <v>973</v>
      </c>
      <c r="G75" s="1138">
        <f t="shared" si="27"/>
        <v>703</v>
      </c>
      <c r="H75" s="1138">
        <f t="shared" si="27"/>
        <v>1189</v>
      </c>
      <c r="I75" s="1138">
        <f t="shared" si="27"/>
        <v>1189</v>
      </c>
      <c r="J75" s="1138">
        <f t="shared" si="27"/>
        <v>141</v>
      </c>
      <c r="K75" s="1138">
        <f t="shared" si="27"/>
        <v>150</v>
      </c>
      <c r="L75" s="1138"/>
    </row>
    <row r="76" spans="1:19" s="1157" customFormat="1" ht="30" customHeight="1">
      <c r="A76" s="1155"/>
      <c r="B76" s="1147" t="s">
        <v>1062</v>
      </c>
      <c r="C76" s="1138">
        <f t="shared" si="23"/>
        <v>6225</v>
      </c>
      <c r="D76" s="1138">
        <v>940</v>
      </c>
      <c r="E76" s="1138">
        <v>940</v>
      </c>
      <c r="F76" s="1138">
        <v>973</v>
      </c>
      <c r="G76" s="1138">
        <v>703</v>
      </c>
      <c r="H76" s="1138">
        <v>1189</v>
      </c>
      <c r="I76" s="1138">
        <v>1189</v>
      </c>
      <c r="J76" s="1138">
        <v>141</v>
      </c>
      <c r="K76" s="1138">
        <v>150</v>
      </c>
      <c r="L76" s="1138"/>
    </row>
    <row r="77" spans="1:19" s="1157" customFormat="1" ht="30" hidden="1" customHeight="1">
      <c r="A77" s="1155"/>
      <c r="B77" s="1147" t="s">
        <v>1065</v>
      </c>
      <c r="C77" s="1138"/>
      <c r="D77" s="1138"/>
      <c r="E77" s="1138"/>
      <c r="F77" s="1138"/>
      <c r="G77" s="1138"/>
      <c r="H77" s="1138"/>
      <c r="I77" s="1138"/>
      <c r="J77" s="1138"/>
      <c r="K77" s="1138"/>
      <c r="L77" s="1138"/>
    </row>
    <row r="78" spans="1:19" s="1157" customFormat="1" ht="39.75" customHeight="1">
      <c r="A78" s="1155" t="s">
        <v>1086</v>
      </c>
      <c r="B78" s="1156" t="s">
        <v>1087</v>
      </c>
      <c r="C78" s="1138">
        <f>D78+E78+F78+G78+H78+I78+J78+K78+L78</f>
        <v>3329</v>
      </c>
      <c r="D78" s="1138">
        <f t="shared" ref="D78:K78" si="28">D79+D80</f>
        <v>368</v>
      </c>
      <c r="E78" s="1138">
        <f t="shared" si="28"/>
        <v>368</v>
      </c>
      <c r="F78" s="1138">
        <f t="shared" si="28"/>
        <v>381</v>
      </c>
      <c r="G78" s="1138">
        <f t="shared" si="28"/>
        <v>275</v>
      </c>
      <c r="H78" s="1138">
        <f t="shared" si="28"/>
        <v>465</v>
      </c>
      <c r="I78" s="1138">
        <f t="shared" si="28"/>
        <v>465</v>
      </c>
      <c r="J78" s="1138">
        <f t="shared" si="28"/>
        <v>58</v>
      </c>
      <c r="K78" s="1138">
        <f t="shared" si="28"/>
        <v>949</v>
      </c>
      <c r="L78" s="1138"/>
    </row>
    <row r="79" spans="1:19" ht="30" customHeight="1">
      <c r="A79" s="1169"/>
      <c r="B79" s="1147" t="s">
        <v>1062</v>
      </c>
      <c r="C79" s="1138">
        <f>D79+E79+F79+G79+H79+I79+J79+K79+L79</f>
        <v>3329</v>
      </c>
      <c r="D79" s="1138">
        <v>368</v>
      </c>
      <c r="E79" s="1138">
        <v>368</v>
      </c>
      <c r="F79" s="1138">
        <v>381</v>
      </c>
      <c r="G79" s="1138">
        <v>275</v>
      </c>
      <c r="H79" s="1138">
        <v>465</v>
      </c>
      <c r="I79" s="1138">
        <v>465</v>
      </c>
      <c r="J79" s="1138">
        <v>58</v>
      </c>
      <c r="K79" s="1138">
        <v>949</v>
      </c>
      <c r="L79" s="1170"/>
      <c r="M79" s="1121"/>
    </row>
    <row r="80" spans="1:19" s="1151" customFormat="1" ht="30" hidden="1" customHeight="1">
      <c r="A80" s="1171"/>
      <c r="B80" s="1172" t="s">
        <v>1065</v>
      </c>
      <c r="C80" s="1173">
        <f>D80+E80+F80+G80+H80+I80+J80+K80+L80</f>
        <v>0</v>
      </c>
      <c r="D80" s="1174"/>
      <c r="E80" s="1175"/>
      <c r="F80" s="1175"/>
      <c r="G80" s="1175"/>
      <c r="H80" s="1175"/>
      <c r="I80" s="1175"/>
      <c r="J80" s="1175"/>
      <c r="K80" s="1175"/>
      <c r="L80" s="1175"/>
    </row>
  </sheetData>
  <mergeCells count="16">
    <mergeCell ref="AT53:AV53"/>
    <mergeCell ref="AE53:AG53"/>
    <mergeCell ref="AH53:AJ53"/>
    <mergeCell ref="AK53:AM53"/>
    <mergeCell ref="AN53:AP53"/>
    <mergeCell ref="AQ53:AS53"/>
    <mergeCell ref="A5:A7"/>
    <mergeCell ref="B5:B7"/>
    <mergeCell ref="C5:L5"/>
    <mergeCell ref="C6:C7"/>
    <mergeCell ref="D6:L6"/>
    <mergeCell ref="A1:B1"/>
    <mergeCell ref="K1:L1"/>
    <mergeCell ref="A2:L2"/>
    <mergeCell ref="A3:L3"/>
    <mergeCell ref="A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00"/>
  </sheetPr>
  <dimension ref="A1:AQ113"/>
  <sheetViews>
    <sheetView topLeftCell="A4" zoomScale="73" zoomScaleNormal="73" workbookViewId="0">
      <pane xSplit="3" ySplit="7" topLeftCell="D83" activePane="bottomRight" state="frozen"/>
      <selection activeCell="E25" sqref="E25"/>
      <selection pane="topRight" activeCell="E25" sqref="E25"/>
      <selection pane="bottomLeft" activeCell="E25" sqref="E25"/>
      <selection pane="bottomRight" activeCell="E25" sqref="E25"/>
    </sheetView>
  </sheetViews>
  <sheetFormatPr defaultRowHeight="15.75"/>
  <cols>
    <col min="1" max="1" width="4.625" style="333" customWidth="1"/>
    <col min="2" max="2" width="44.875" customWidth="1"/>
    <col min="3" max="3" width="13.375" style="1021" customWidth="1"/>
    <col min="4" max="4" width="36.75" customWidth="1"/>
    <col min="5" max="5" width="10.375" style="333" customWidth="1"/>
    <col min="6" max="6" width="9.375" customWidth="1"/>
    <col min="7" max="7" width="12.5" customWidth="1"/>
    <col min="8" max="8" width="11.625" customWidth="1"/>
    <col min="9" max="9" width="12.875" customWidth="1"/>
    <col min="10" max="10" width="11.625" customWidth="1"/>
    <col min="11" max="11" width="12" customWidth="1"/>
    <col min="12" max="12" width="11.5" style="104" customWidth="1"/>
    <col min="13" max="13" width="11" customWidth="1"/>
    <col min="14" max="14" width="12" customWidth="1"/>
    <col min="15" max="15" width="9.375" customWidth="1"/>
    <col min="16" max="16" width="14.75" style="886" customWidth="1"/>
    <col min="17" max="17" width="12.5" style="886" customWidth="1"/>
    <col min="18" max="18" width="14.5" style="887" customWidth="1"/>
    <col min="19" max="21" width="12.5" style="886" customWidth="1"/>
    <col min="22" max="22" width="23" style="886" customWidth="1"/>
    <col min="23" max="23" width="20.5" style="886" customWidth="1"/>
    <col min="24" max="24" width="12.75" style="886" customWidth="1"/>
    <col min="25" max="26" width="8.125" style="886" customWidth="1"/>
    <col min="27" max="27" width="24.375" style="886" customWidth="1"/>
    <col min="28" max="28" width="25.125" style="886" customWidth="1"/>
    <col min="29" max="29" width="24.25" style="886" customWidth="1"/>
    <col min="30" max="31" width="18.125" style="886" customWidth="1"/>
    <col min="32" max="32" width="15.875" style="886" customWidth="1"/>
    <col min="33" max="33" width="18" style="886" customWidth="1"/>
    <col min="34" max="43" width="9" style="886" customWidth="1"/>
  </cols>
  <sheetData>
    <row r="1" spans="1:43" ht="30" customHeight="1">
      <c r="A1" s="1455"/>
      <c r="B1" s="1455"/>
      <c r="C1" s="881"/>
      <c r="D1" s="882"/>
      <c r="E1" s="882"/>
      <c r="F1" s="883"/>
      <c r="G1" s="884"/>
      <c r="H1" s="884"/>
      <c r="I1" s="884"/>
      <c r="J1" s="1456" t="s">
        <v>874</v>
      </c>
      <c r="K1" s="1456"/>
      <c r="L1" s="1456"/>
      <c r="M1" s="1456"/>
      <c r="N1" s="1456"/>
      <c r="O1" s="1456"/>
      <c r="P1" s="885"/>
    </row>
    <row r="2" spans="1:43" ht="117" customHeight="1">
      <c r="A2" s="1457" t="s">
        <v>875</v>
      </c>
      <c r="B2" s="1458"/>
      <c r="C2" s="1458"/>
      <c r="D2" s="1458"/>
      <c r="E2" s="1458"/>
      <c r="F2" s="1458"/>
      <c r="G2" s="1458"/>
      <c r="H2" s="1458"/>
      <c r="I2" s="1458"/>
      <c r="J2" s="1458"/>
      <c r="K2" s="1458"/>
      <c r="L2" s="1458"/>
      <c r="M2" s="1458"/>
      <c r="N2" s="1458"/>
      <c r="O2" s="1458"/>
      <c r="P2" s="888"/>
    </row>
    <row r="3" spans="1:43" ht="36.75" customHeight="1">
      <c r="A3" s="1459" t="str">
        <f>'[67]Biểu 1'!A3:G3</f>
        <v>(Kèm theo Quyết định số 70/QĐ-UBND ngày 28/02/2023 của Ủy ban nhân dân tỉnh)</v>
      </c>
      <c r="B3" s="1460"/>
      <c r="C3" s="1460"/>
      <c r="D3" s="1460"/>
      <c r="E3" s="1460"/>
      <c r="F3" s="1460"/>
      <c r="G3" s="1460"/>
      <c r="H3" s="1460"/>
      <c r="I3" s="1460"/>
      <c r="J3" s="1460"/>
      <c r="K3" s="1460"/>
      <c r="L3" s="1460"/>
      <c r="M3" s="1460"/>
      <c r="N3" s="1460"/>
      <c r="O3" s="1460"/>
      <c r="P3" s="889"/>
    </row>
    <row r="4" spans="1:43" ht="22.5" customHeight="1">
      <c r="A4" s="890"/>
      <c r="B4" s="891"/>
      <c r="C4" s="892"/>
      <c r="D4" s="891"/>
      <c r="E4" s="890"/>
      <c r="F4" s="891"/>
      <c r="G4" s="891"/>
      <c r="H4" s="891"/>
      <c r="I4" s="891"/>
      <c r="J4" s="893"/>
      <c r="K4" s="1461" t="s">
        <v>876</v>
      </c>
      <c r="L4" s="1461"/>
      <c r="M4" s="1461"/>
      <c r="N4" s="1461"/>
      <c r="O4" s="1461"/>
      <c r="P4" s="894"/>
    </row>
    <row r="5" spans="1:43" s="897" customFormat="1" ht="13.5" customHeight="1">
      <c r="A5" s="1462" t="s">
        <v>26</v>
      </c>
      <c r="B5" s="1462" t="s">
        <v>877</v>
      </c>
      <c r="C5" s="1463" t="s">
        <v>878</v>
      </c>
      <c r="D5" s="1462" t="s">
        <v>879</v>
      </c>
      <c r="E5" s="1462" t="s">
        <v>880</v>
      </c>
      <c r="F5" s="1462" t="s">
        <v>881</v>
      </c>
      <c r="G5" s="1462"/>
      <c r="H5" s="1462"/>
      <c r="I5" s="1462"/>
      <c r="J5" s="1464" t="s">
        <v>882</v>
      </c>
      <c r="K5" s="1464" t="s">
        <v>883</v>
      </c>
      <c r="L5" s="1464" t="s">
        <v>884</v>
      </c>
      <c r="M5" s="1464"/>
      <c r="N5" s="1464"/>
      <c r="O5" s="1462" t="s">
        <v>885</v>
      </c>
      <c r="P5" s="895"/>
      <c r="Q5" s="896"/>
      <c r="R5" s="887"/>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row>
    <row r="6" spans="1:43" s="897" customFormat="1" ht="24.75" customHeight="1">
      <c r="A6" s="1462"/>
      <c r="B6" s="1462"/>
      <c r="C6" s="1462"/>
      <c r="D6" s="1462"/>
      <c r="E6" s="1462"/>
      <c r="F6" s="1462"/>
      <c r="G6" s="1462"/>
      <c r="H6" s="1462"/>
      <c r="I6" s="1462"/>
      <c r="J6" s="1464"/>
      <c r="K6" s="1464"/>
      <c r="L6" s="1464"/>
      <c r="M6" s="1464"/>
      <c r="N6" s="1464"/>
      <c r="O6" s="1462"/>
      <c r="P6" s="895"/>
      <c r="Q6" s="896"/>
      <c r="R6" s="887"/>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row>
    <row r="7" spans="1:43" s="897" customFormat="1" ht="27" customHeight="1">
      <c r="A7" s="1462"/>
      <c r="B7" s="1462"/>
      <c r="C7" s="1462"/>
      <c r="D7" s="1462"/>
      <c r="E7" s="1462"/>
      <c r="F7" s="1462" t="s">
        <v>886</v>
      </c>
      <c r="G7" s="1462" t="s">
        <v>887</v>
      </c>
      <c r="H7" s="1462"/>
      <c r="I7" s="1462"/>
      <c r="J7" s="1464"/>
      <c r="K7" s="1464"/>
      <c r="L7" s="1465" t="s">
        <v>888</v>
      </c>
      <c r="M7" s="1464" t="s">
        <v>2</v>
      </c>
      <c r="N7" s="1464"/>
      <c r="O7" s="1462"/>
      <c r="P7" s="895"/>
      <c r="Q7" s="896"/>
      <c r="R7" s="887"/>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row>
    <row r="8" spans="1:43" s="897" customFormat="1" ht="31.5" customHeight="1">
      <c r="A8" s="1462"/>
      <c r="B8" s="1462"/>
      <c r="C8" s="1462"/>
      <c r="D8" s="1462"/>
      <c r="E8" s="1462"/>
      <c r="F8" s="1462"/>
      <c r="G8" s="1462" t="s">
        <v>889</v>
      </c>
      <c r="H8" s="1462" t="s">
        <v>2</v>
      </c>
      <c r="I8" s="1462"/>
      <c r="J8" s="1464"/>
      <c r="K8" s="1464"/>
      <c r="L8" s="1465"/>
      <c r="M8" s="1464" t="s">
        <v>890</v>
      </c>
      <c r="N8" s="1464" t="s">
        <v>891</v>
      </c>
      <c r="O8" s="1462"/>
      <c r="P8" s="895"/>
      <c r="Q8" s="896"/>
      <c r="R8" s="887"/>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row>
    <row r="9" spans="1:43" s="897" customFormat="1" ht="17.25" customHeight="1">
      <c r="A9" s="1462"/>
      <c r="B9" s="1462"/>
      <c r="C9" s="1462"/>
      <c r="D9" s="1462"/>
      <c r="E9" s="1462"/>
      <c r="F9" s="1462"/>
      <c r="G9" s="1462"/>
      <c r="H9" s="1462" t="s">
        <v>890</v>
      </c>
      <c r="I9" s="1462" t="s">
        <v>892</v>
      </c>
      <c r="J9" s="1464"/>
      <c r="K9" s="1464"/>
      <c r="L9" s="1465"/>
      <c r="M9" s="1464"/>
      <c r="N9" s="1464"/>
      <c r="O9" s="1462"/>
      <c r="P9" s="895"/>
      <c r="Q9" s="896"/>
      <c r="R9" s="887"/>
      <c r="S9" s="896"/>
      <c r="T9" s="896" t="s">
        <v>810</v>
      </c>
      <c r="U9" s="896" t="s">
        <v>806</v>
      </c>
      <c r="V9" s="896"/>
      <c r="W9" s="896"/>
      <c r="X9" s="896"/>
      <c r="Y9" s="896"/>
      <c r="Z9" s="896"/>
      <c r="AA9" s="896"/>
      <c r="AB9" s="1466" t="s">
        <v>893</v>
      </c>
      <c r="AC9" s="1466"/>
      <c r="AD9" s="1466" t="s">
        <v>894</v>
      </c>
      <c r="AE9" s="1466"/>
      <c r="AF9" s="896"/>
      <c r="AG9" s="896"/>
      <c r="AH9" s="896"/>
      <c r="AI9" s="896"/>
      <c r="AJ9" s="896"/>
      <c r="AK9" s="896"/>
      <c r="AL9" s="896"/>
      <c r="AM9" s="896"/>
      <c r="AN9" s="896"/>
      <c r="AO9" s="896"/>
      <c r="AP9" s="896"/>
      <c r="AQ9" s="896"/>
    </row>
    <row r="10" spans="1:43" s="897" customFormat="1" ht="51.75" customHeight="1">
      <c r="A10" s="1462"/>
      <c r="B10" s="1462"/>
      <c r="C10" s="1462"/>
      <c r="D10" s="1462"/>
      <c r="E10" s="1462"/>
      <c r="F10" s="1462"/>
      <c r="G10" s="1462"/>
      <c r="H10" s="1462"/>
      <c r="I10" s="1462"/>
      <c r="J10" s="1464"/>
      <c r="K10" s="1464"/>
      <c r="L10" s="1465"/>
      <c r="M10" s="1464"/>
      <c r="N10" s="1464"/>
      <c r="O10" s="1462"/>
      <c r="P10" s="895" t="s">
        <v>810</v>
      </c>
      <c r="Q10" s="896" t="s">
        <v>806</v>
      </c>
      <c r="R10" s="887"/>
      <c r="S10" s="896"/>
      <c r="T10" s="896" t="s">
        <v>895</v>
      </c>
      <c r="U10" s="896" t="s">
        <v>896</v>
      </c>
      <c r="V10" s="896">
        <f>22+14</f>
        <v>36</v>
      </c>
      <c r="W10" s="896"/>
      <c r="X10" s="896"/>
      <c r="Y10" s="896"/>
      <c r="Z10" s="896"/>
      <c r="AA10" s="896" t="s">
        <v>91</v>
      </c>
      <c r="AB10" s="896" t="s">
        <v>810</v>
      </c>
      <c r="AC10" s="896" t="s">
        <v>806</v>
      </c>
      <c r="AD10" s="896" t="s">
        <v>810</v>
      </c>
      <c r="AE10" s="896" t="s">
        <v>806</v>
      </c>
      <c r="AF10" s="896" t="s">
        <v>897</v>
      </c>
      <c r="AG10" s="898" t="s">
        <v>898</v>
      </c>
      <c r="AH10" s="896" t="s">
        <v>890</v>
      </c>
      <c r="AI10" s="896"/>
      <c r="AJ10" s="896"/>
      <c r="AK10" s="896"/>
      <c r="AL10" s="896"/>
      <c r="AM10" s="896"/>
      <c r="AN10" s="896"/>
      <c r="AO10" s="896"/>
      <c r="AP10" s="896"/>
      <c r="AQ10" s="896"/>
    </row>
    <row r="11" spans="1:43" s="904" customFormat="1" ht="21.75" customHeight="1">
      <c r="A11" s="899" t="s">
        <v>133</v>
      </c>
      <c r="B11" s="899" t="s">
        <v>140</v>
      </c>
      <c r="C11" s="900" t="s">
        <v>167</v>
      </c>
      <c r="D11" s="899">
        <v>3</v>
      </c>
      <c r="E11" s="900">
        <v>4</v>
      </c>
      <c r="F11" s="900">
        <v>5</v>
      </c>
      <c r="G11" s="900">
        <v>6</v>
      </c>
      <c r="H11" s="900">
        <v>7</v>
      </c>
      <c r="I11" s="900">
        <v>8</v>
      </c>
      <c r="J11" s="900">
        <v>9</v>
      </c>
      <c r="K11" s="900">
        <v>10</v>
      </c>
      <c r="L11" s="901">
        <v>11</v>
      </c>
      <c r="M11" s="900">
        <v>12</v>
      </c>
      <c r="N11" s="900">
        <v>13</v>
      </c>
      <c r="O11" s="900">
        <v>14</v>
      </c>
      <c r="P11" s="902"/>
      <c r="Q11" s="903"/>
      <c r="R11" s="887"/>
      <c r="S11" s="903"/>
      <c r="T11" s="903"/>
      <c r="U11" s="903"/>
      <c r="V11" s="903"/>
      <c r="W11" s="903"/>
      <c r="X11" s="903"/>
      <c r="Y11" s="903"/>
      <c r="Z11" s="903"/>
      <c r="AA11" s="903"/>
      <c r="AB11" s="903"/>
      <c r="AC11" s="903"/>
      <c r="AD11" s="903"/>
      <c r="AE11" s="903"/>
      <c r="AF11" s="903"/>
      <c r="AG11" s="903"/>
      <c r="AH11" s="903"/>
      <c r="AI11" s="903"/>
      <c r="AJ11" s="903"/>
      <c r="AK11" s="903"/>
      <c r="AL11" s="903"/>
      <c r="AM11" s="903"/>
      <c r="AN11" s="903"/>
      <c r="AO11" s="903"/>
      <c r="AP11" s="903"/>
      <c r="AQ11" s="903"/>
    </row>
    <row r="12" spans="1:43" ht="37.5" customHeight="1">
      <c r="A12" s="905"/>
      <c r="B12" s="905" t="s">
        <v>899</v>
      </c>
      <c r="C12" s="905"/>
      <c r="D12" s="906"/>
      <c r="E12" s="905"/>
      <c r="F12" s="906"/>
      <c r="G12" s="907">
        <f t="shared" ref="G12:N12" si="0">G13+G28</f>
        <v>424747.38</v>
      </c>
      <c r="H12" s="907">
        <f t="shared" si="0"/>
        <v>407546</v>
      </c>
      <c r="I12" s="907">
        <f t="shared" si="0"/>
        <v>17201.38</v>
      </c>
      <c r="J12" s="907">
        <f t="shared" si="0"/>
        <v>407546</v>
      </c>
      <c r="K12" s="907">
        <f t="shared" si="0"/>
        <v>140184</v>
      </c>
      <c r="L12" s="908">
        <f t="shared" si="0"/>
        <v>91792</v>
      </c>
      <c r="M12" s="907">
        <f t="shared" si="0"/>
        <v>89118</v>
      </c>
      <c r="N12" s="907">
        <f t="shared" si="0"/>
        <v>2674</v>
      </c>
      <c r="O12" s="906"/>
      <c r="P12" s="909"/>
      <c r="Q12" s="910">
        <f>M12+N12</f>
        <v>91792</v>
      </c>
      <c r="S12" s="911">
        <f t="shared" ref="S12:S20" si="1">R12/G12*100</f>
        <v>0</v>
      </c>
      <c r="T12" s="911"/>
      <c r="U12" s="912"/>
      <c r="V12" s="913"/>
      <c r="W12" s="913"/>
      <c r="X12" s="914">
        <f t="shared" ref="X12:X67" si="2">L12*3%</f>
        <v>2753.7599999999998</v>
      </c>
    </row>
    <row r="13" spans="1:43" s="104" customFormat="1" ht="37.5" customHeight="1">
      <c r="A13" s="915" t="s">
        <v>133</v>
      </c>
      <c r="B13" s="916" t="s">
        <v>900</v>
      </c>
      <c r="C13" s="915"/>
      <c r="D13" s="917"/>
      <c r="E13" s="915"/>
      <c r="F13" s="917"/>
      <c r="G13" s="908">
        <f t="shared" ref="G13:N13" si="3">G14+G20</f>
        <v>209669</v>
      </c>
      <c r="H13" s="908">
        <f t="shared" si="3"/>
        <v>199703</v>
      </c>
      <c r="I13" s="908">
        <f t="shared" si="3"/>
        <v>9966</v>
      </c>
      <c r="J13" s="908">
        <f t="shared" si="3"/>
        <v>199703</v>
      </c>
      <c r="K13" s="908">
        <f t="shared" si="3"/>
        <v>30606</v>
      </c>
      <c r="L13" s="908">
        <f t="shared" si="3"/>
        <v>56844.67</v>
      </c>
      <c r="M13" s="908">
        <f t="shared" si="3"/>
        <v>55189</v>
      </c>
      <c r="N13" s="908">
        <f t="shared" si="3"/>
        <v>1655.67</v>
      </c>
      <c r="O13" s="917"/>
      <c r="P13" s="918"/>
      <c r="Q13" s="919"/>
      <c r="R13" s="920">
        <v>1018.33</v>
      </c>
      <c r="S13" s="921">
        <f t="shared" si="1"/>
        <v>0.48568457902694251</v>
      </c>
      <c r="T13" s="921"/>
      <c r="U13" s="919"/>
      <c r="V13" s="922"/>
      <c r="W13" s="922"/>
      <c r="X13" s="923">
        <f t="shared" si="2"/>
        <v>1705.3400999999999</v>
      </c>
      <c r="Y13" s="922"/>
      <c r="Z13" s="922"/>
      <c r="AA13" s="922">
        <f>SUM(AB13:AC13)</f>
        <v>199703</v>
      </c>
      <c r="AB13" s="922">
        <v>63203</v>
      </c>
      <c r="AC13" s="922">
        <v>136500</v>
      </c>
      <c r="AD13" s="922">
        <v>29189</v>
      </c>
      <c r="AE13" s="922">
        <v>26000</v>
      </c>
      <c r="AF13" s="922"/>
      <c r="AG13" s="922"/>
      <c r="AH13" s="922"/>
      <c r="AI13" s="922"/>
      <c r="AJ13" s="922"/>
      <c r="AK13" s="922"/>
      <c r="AL13" s="922"/>
      <c r="AM13" s="922"/>
      <c r="AN13" s="922"/>
      <c r="AO13" s="922"/>
      <c r="AP13" s="922"/>
      <c r="AQ13" s="922"/>
    </row>
    <row r="14" spans="1:43" s="104" customFormat="1" ht="37.5" customHeight="1">
      <c r="A14" s="915" t="s">
        <v>66</v>
      </c>
      <c r="B14" s="916" t="s">
        <v>46</v>
      </c>
      <c r="C14" s="915"/>
      <c r="D14" s="917"/>
      <c r="E14" s="915"/>
      <c r="F14" s="917"/>
      <c r="G14" s="908">
        <f t="shared" ref="G14:M15" si="4">G15</f>
        <v>65099</v>
      </c>
      <c r="H14" s="908">
        <f t="shared" si="4"/>
        <v>63203</v>
      </c>
      <c r="I14" s="908">
        <f t="shared" si="4"/>
        <v>1896</v>
      </c>
      <c r="J14" s="908">
        <f t="shared" si="4"/>
        <v>63203</v>
      </c>
      <c r="K14" s="908">
        <f t="shared" si="4"/>
        <v>3500</v>
      </c>
      <c r="L14" s="908">
        <f>L15</f>
        <v>30064.67</v>
      </c>
      <c r="M14" s="908">
        <f t="shared" si="4"/>
        <v>29189</v>
      </c>
      <c r="N14" s="908">
        <f>N15</f>
        <v>875.67</v>
      </c>
      <c r="O14" s="917"/>
      <c r="P14" s="924">
        <f>L14+L29</f>
        <v>45896</v>
      </c>
      <c r="Q14" s="921">
        <f>L20+L57</f>
        <v>45896</v>
      </c>
      <c r="R14" s="920">
        <v>1655.67</v>
      </c>
      <c r="S14" s="921">
        <f t="shared" si="1"/>
        <v>2.5433109571575603</v>
      </c>
      <c r="T14" s="921"/>
      <c r="U14" s="919"/>
      <c r="V14" s="922"/>
      <c r="W14" s="922"/>
      <c r="X14" s="923">
        <f t="shared" si="2"/>
        <v>901.94009999999992</v>
      </c>
      <c r="Y14" s="922"/>
      <c r="Z14" s="922"/>
      <c r="AA14" s="922">
        <f>SUM(AB14:AC14)</f>
        <v>207843</v>
      </c>
      <c r="AB14" s="922">
        <v>140570</v>
      </c>
      <c r="AC14" s="922">
        <v>67273</v>
      </c>
      <c r="AD14" s="922">
        <v>15370</v>
      </c>
      <c r="AE14" s="922">
        <v>18559</v>
      </c>
      <c r="AF14" s="922"/>
      <c r="AG14" s="922"/>
      <c r="AH14" s="922"/>
      <c r="AI14" s="922"/>
      <c r="AJ14" s="922"/>
      <c r="AK14" s="922"/>
      <c r="AL14" s="922"/>
      <c r="AM14" s="922"/>
      <c r="AN14" s="922"/>
      <c r="AO14" s="922"/>
      <c r="AP14" s="922"/>
      <c r="AQ14" s="922"/>
    </row>
    <row r="15" spans="1:43" ht="37.5" customHeight="1">
      <c r="A15" s="925" t="s">
        <v>901</v>
      </c>
      <c r="B15" s="926" t="s">
        <v>75</v>
      </c>
      <c r="C15" s="905"/>
      <c r="D15" s="906"/>
      <c r="E15" s="905"/>
      <c r="F15" s="906"/>
      <c r="G15" s="907">
        <f t="shared" si="4"/>
        <v>65099</v>
      </c>
      <c r="H15" s="907">
        <f t="shared" si="4"/>
        <v>63203</v>
      </c>
      <c r="I15" s="907">
        <f t="shared" si="4"/>
        <v>1896</v>
      </c>
      <c r="J15" s="907">
        <f t="shared" si="4"/>
        <v>63203</v>
      </c>
      <c r="K15" s="907">
        <f t="shared" si="4"/>
        <v>3500</v>
      </c>
      <c r="L15" s="908">
        <f>L16</f>
        <v>30064.67</v>
      </c>
      <c r="M15" s="907">
        <f t="shared" si="4"/>
        <v>29189</v>
      </c>
      <c r="N15" s="907">
        <f>N16</f>
        <v>875.67</v>
      </c>
      <c r="O15" s="906"/>
      <c r="P15" s="927"/>
      <c r="Q15" s="912"/>
      <c r="R15" s="887">
        <f>SUM(R13:R14)</f>
        <v>2674</v>
      </c>
      <c r="S15" s="911">
        <f t="shared" si="1"/>
        <v>4.1075899783406813</v>
      </c>
      <c r="T15" s="911"/>
      <c r="U15" s="912"/>
      <c r="X15" s="914">
        <f t="shared" si="2"/>
        <v>901.94009999999992</v>
      </c>
      <c r="AA15" s="896">
        <f>SUM(AB15:AC15)</f>
        <v>407546</v>
      </c>
      <c r="AB15" s="896">
        <f>SUM(AB13:AB14)</f>
        <v>203773</v>
      </c>
      <c r="AC15" s="896">
        <f>SUM(AC13:AC14)</f>
        <v>203773</v>
      </c>
      <c r="AD15" s="896">
        <f>SUM(AD13:AD14)</f>
        <v>44559</v>
      </c>
      <c r="AE15" s="896">
        <f>SUM(AE13:AE14)</f>
        <v>44559</v>
      </c>
    </row>
    <row r="16" spans="1:43" s="904" customFormat="1" ht="37.5" customHeight="1">
      <c r="A16" s="928"/>
      <c r="B16" s="929" t="s">
        <v>902</v>
      </c>
      <c r="C16" s="930"/>
      <c r="D16" s="929"/>
      <c r="E16" s="930"/>
      <c r="F16" s="931"/>
      <c r="G16" s="932">
        <f t="shared" ref="G16:N16" si="5">SUM(G17:G19)</f>
        <v>65099</v>
      </c>
      <c r="H16" s="932">
        <f t="shared" si="5"/>
        <v>63203</v>
      </c>
      <c r="I16" s="932">
        <f t="shared" si="5"/>
        <v>1896</v>
      </c>
      <c r="J16" s="932">
        <f t="shared" si="5"/>
        <v>63203</v>
      </c>
      <c r="K16" s="932">
        <f t="shared" si="5"/>
        <v>3500</v>
      </c>
      <c r="L16" s="933">
        <f t="shared" si="5"/>
        <v>30064.67</v>
      </c>
      <c r="M16" s="932">
        <f t="shared" si="5"/>
        <v>29189</v>
      </c>
      <c r="N16" s="932">
        <f t="shared" si="5"/>
        <v>875.67</v>
      </c>
      <c r="O16" s="934"/>
      <c r="P16" s="935"/>
      <c r="Q16" s="936"/>
      <c r="R16" s="887"/>
      <c r="S16" s="937">
        <f t="shared" si="1"/>
        <v>0</v>
      </c>
      <c r="T16" s="937"/>
      <c r="U16" s="936"/>
      <c r="V16" s="903" t="s">
        <v>903</v>
      </c>
      <c r="W16" s="938" t="s">
        <v>904</v>
      </c>
      <c r="X16" s="939">
        <f t="shared" si="2"/>
        <v>901.94009999999992</v>
      </c>
      <c r="Y16" s="903"/>
      <c r="Z16" s="903"/>
      <c r="AA16" s="903"/>
      <c r="AB16" s="903"/>
      <c r="AC16" s="903"/>
      <c r="AD16" s="903"/>
      <c r="AE16" s="903"/>
      <c r="AF16" s="903"/>
      <c r="AG16" s="903"/>
      <c r="AH16" s="903"/>
      <c r="AI16" s="903"/>
      <c r="AJ16" s="903"/>
      <c r="AK16" s="903"/>
      <c r="AL16" s="903"/>
      <c r="AM16" s="903"/>
      <c r="AN16" s="903"/>
      <c r="AO16" s="903"/>
      <c r="AP16" s="903"/>
      <c r="AQ16" s="903"/>
    </row>
    <row r="17" spans="1:43" s="388" customFormat="1" ht="87.75" customHeight="1">
      <c r="A17" s="1022">
        <v>1</v>
      </c>
      <c r="B17" s="1023" t="s">
        <v>905</v>
      </c>
      <c r="C17" s="1024" t="s">
        <v>906</v>
      </c>
      <c r="D17" s="1025" t="s">
        <v>907</v>
      </c>
      <c r="E17" s="1026" t="s">
        <v>908</v>
      </c>
      <c r="F17" s="1027"/>
      <c r="G17" s="1028">
        <f>SUM(H17:I17)</f>
        <v>31518</v>
      </c>
      <c r="H17" s="1028">
        <v>30600</v>
      </c>
      <c r="I17" s="1028">
        <v>918</v>
      </c>
      <c r="J17" s="1028">
        <v>30600</v>
      </c>
      <c r="K17" s="1028">
        <v>1500</v>
      </c>
      <c r="L17" s="1029">
        <f>M17+N17</f>
        <v>15026.67</v>
      </c>
      <c r="M17" s="1028">
        <v>14589</v>
      </c>
      <c r="N17" s="1028">
        <f>M17*3%</f>
        <v>437.66999999999996</v>
      </c>
      <c r="O17" s="1030" t="s">
        <v>244</v>
      </c>
      <c r="P17" s="1031"/>
      <c r="Q17" s="1032">
        <v>1</v>
      </c>
      <c r="R17" s="1033">
        <f>N20+N14</f>
        <v>1655.67</v>
      </c>
      <c r="S17" s="1034">
        <f t="shared" si="1"/>
        <v>5.253093470397868</v>
      </c>
      <c r="T17" s="1034">
        <v>1</v>
      </c>
      <c r="U17" s="1032"/>
      <c r="V17" s="1035"/>
      <c r="W17" s="1036"/>
      <c r="X17" s="1037">
        <f t="shared" si="2"/>
        <v>450.80009999999999</v>
      </c>
      <c r="Y17" s="1038">
        <v>1</v>
      </c>
      <c r="Z17" s="1035"/>
      <c r="AA17" s="1035"/>
      <c r="AB17" s="1035"/>
      <c r="AC17" s="1035"/>
      <c r="AD17" s="1035"/>
      <c r="AE17" s="1035"/>
      <c r="AF17" s="1038">
        <f>K17+L17</f>
        <v>16526.669999999998</v>
      </c>
      <c r="AG17" s="1039">
        <f t="shared" ref="AG17:AG76" si="6">AF17/G17*100</f>
        <v>52.435655815724346</v>
      </c>
      <c r="AH17" s="1035"/>
      <c r="AI17" s="1035"/>
      <c r="AJ17" s="1035"/>
      <c r="AK17" s="1035"/>
      <c r="AL17" s="1035"/>
      <c r="AM17" s="1035"/>
      <c r="AN17" s="1035"/>
      <c r="AO17" s="1035"/>
      <c r="AP17" s="1035"/>
      <c r="AQ17" s="1035"/>
    </row>
    <row r="18" spans="1:43" s="388" customFormat="1" ht="69" customHeight="1">
      <c r="A18" s="1022">
        <v>2</v>
      </c>
      <c r="B18" s="1040" t="s">
        <v>909</v>
      </c>
      <c r="C18" s="1024" t="s">
        <v>841</v>
      </c>
      <c r="D18" s="1041" t="s">
        <v>910</v>
      </c>
      <c r="E18" s="1026" t="s">
        <v>908</v>
      </c>
      <c r="F18" s="1042"/>
      <c r="G18" s="1028">
        <f>SUM(H18:I18)</f>
        <v>16068</v>
      </c>
      <c r="H18" s="1028">
        <v>15600</v>
      </c>
      <c r="I18" s="1028">
        <v>468</v>
      </c>
      <c r="J18" s="1028">
        <v>15600</v>
      </c>
      <c r="K18" s="1028">
        <v>1000</v>
      </c>
      <c r="L18" s="1029">
        <f>M18+N18</f>
        <v>7210</v>
      </c>
      <c r="M18" s="1028">
        <v>7000</v>
      </c>
      <c r="N18" s="1028">
        <f>M18*3%</f>
        <v>210</v>
      </c>
      <c r="O18" s="1030" t="s">
        <v>244</v>
      </c>
      <c r="P18" s="1031"/>
      <c r="Q18" s="1032">
        <v>2</v>
      </c>
      <c r="R18" s="1033"/>
      <c r="S18" s="1034">
        <f t="shared" si="1"/>
        <v>0</v>
      </c>
      <c r="T18" s="1034">
        <v>2</v>
      </c>
      <c r="U18" s="1032"/>
      <c r="V18" s="1035"/>
      <c r="W18" s="1036"/>
      <c r="X18" s="1037">
        <f t="shared" si="2"/>
        <v>216.29999999999998</v>
      </c>
      <c r="Y18" s="1035">
        <v>2</v>
      </c>
      <c r="Z18" s="1035"/>
      <c r="AA18" s="1035"/>
      <c r="AB18" s="1035"/>
      <c r="AC18" s="1035"/>
      <c r="AD18" s="1035"/>
      <c r="AE18" s="1035"/>
      <c r="AF18" s="1038">
        <f t="shared" ref="AF18:AF76" si="7">K18+L18</f>
        <v>8210</v>
      </c>
      <c r="AG18" s="1039">
        <f t="shared" si="6"/>
        <v>51.095344784665173</v>
      </c>
      <c r="AH18" s="1035"/>
      <c r="AI18" s="1035"/>
      <c r="AJ18" s="1035"/>
      <c r="AK18" s="1035"/>
      <c r="AL18" s="1035"/>
      <c r="AM18" s="1035"/>
      <c r="AN18" s="1035"/>
      <c r="AO18" s="1035"/>
      <c r="AP18" s="1035"/>
      <c r="AQ18" s="1035"/>
    </row>
    <row r="19" spans="1:43" s="388" customFormat="1" ht="59.25" customHeight="1">
      <c r="A19" s="1022">
        <v>3</v>
      </c>
      <c r="B19" s="1043" t="s">
        <v>911</v>
      </c>
      <c r="C19" s="1024" t="s">
        <v>269</v>
      </c>
      <c r="D19" s="1044" t="s">
        <v>912</v>
      </c>
      <c r="E19" s="1026" t="s">
        <v>908</v>
      </c>
      <c r="F19" s="1045"/>
      <c r="G19" s="1028">
        <f>SUM(H19:I19)</f>
        <v>17513</v>
      </c>
      <c r="H19" s="1028">
        <v>17003</v>
      </c>
      <c r="I19" s="1028">
        <v>510</v>
      </c>
      <c r="J19" s="1028">
        <v>17003</v>
      </c>
      <c r="K19" s="1028">
        <v>1000</v>
      </c>
      <c r="L19" s="1029">
        <f>M19+N19</f>
        <v>7828</v>
      </c>
      <c r="M19" s="1028">
        <v>7600</v>
      </c>
      <c r="N19" s="1028">
        <f>M19*3%</f>
        <v>228</v>
      </c>
      <c r="O19" s="1030" t="s">
        <v>244</v>
      </c>
      <c r="P19" s="1031"/>
      <c r="Q19" s="1032">
        <v>3</v>
      </c>
      <c r="R19" s="1033"/>
      <c r="S19" s="1034">
        <f t="shared" si="1"/>
        <v>0</v>
      </c>
      <c r="T19" s="1034">
        <v>3</v>
      </c>
      <c r="U19" s="1032"/>
      <c r="V19" s="1035"/>
      <c r="W19" s="1036"/>
      <c r="X19" s="1037">
        <f t="shared" si="2"/>
        <v>234.84</v>
      </c>
      <c r="Y19" s="1035">
        <v>3</v>
      </c>
      <c r="Z19" s="1035"/>
      <c r="AA19" s="1035"/>
      <c r="AB19" s="1035"/>
      <c r="AC19" s="1035"/>
      <c r="AD19" s="1035"/>
      <c r="AE19" s="1035"/>
      <c r="AF19" s="1038">
        <f t="shared" si="7"/>
        <v>8828</v>
      </c>
      <c r="AG19" s="1039">
        <f t="shared" si="6"/>
        <v>50.408268143664699</v>
      </c>
      <c r="AH19" s="1035"/>
      <c r="AI19" s="1035"/>
      <c r="AJ19" s="1035"/>
      <c r="AK19" s="1035"/>
      <c r="AL19" s="1035"/>
      <c r="AM19" s="1035"/>
      <c r="AN19" s="1035"/>
      <c r="AO19" s="1035"/>
      <c r="AP19" s="1035"/>
      <c r="AQ19" s="1035"/>
    </row>
    <row r="20" spans="1:43" s="104" customFormat="1" ht="37.5" customHeight="1">
      <c r="A20" s="915" t="s">
        <v>67</v>
      </c>
      <c r="B20" s="916" t="s">
        <v>45</v>
      </c>
      <c r="C20" s="949"/>
      <c r="D20" s="917"/>
      <c r="E20" s="915"/>
      <c r="F20" s="917"/>
      <c r="G20" s="908">
        <f t="shared" ref="G20:N20" si="8">G21+G25</f>
        <v>144570</v>
      </c>
      <c r="H20" s="908">
        <f t="shared" si="8"/>
        <v>136500</v>
      </c>
      <c r="I20" s="908">
        <f t="shared" si="8"/>
        <v>8070</v>
      </c>
      <c r="J20" s="908">
        <f t="shared" si="8"/>
        <v>136500</v>
      </c>
      <c r="K20" s="908">
        <f t="shared" si="8"/>
        <v>27106</v>
      </c>
      <c r="L20" s="908">
        <f t="shared" si="8"/>
        <v>26780</v>
      </c>
      <c r="M20" s="908">
        <f t="shared" si="8"/>
        <v>26000</v>
      </c>
      <c r="N20" s="908">
        <f t="shared" si="8"/>
        <v>780</v>
      </c>
      <c r="O20" s="917"/>
      <c r="P20" s="918"/>
      <c r="Q20" s="919"/>
      <c r="R20" s="920">
        <f>N21+N25</f>
        <v>780</v>
      </c>
      <c r="S20" s="921">
        <f t="shared" si="1"/>
        <v>0.5395310230338245</v>
      </c>
      <c r="T20" s="921"/>
      <c r="U20" s="919"/>
      <c r="V20" s="950"/>
      <c r="W20" s="950"/>
      <c r="X20" s="923">
        <f t="shared" si="2"/>
        <v>803.4</v>
      </c>
      <c r="Y20" s="922"/>
      <c r="Z20" s="922"/>
      <c r="AA20" s="922"/>
      <c r="AB20" s="922"/>
      <c r="AC20" s="922"/>
      <c r="AD20" s="922"/>
      <c r="AE20" s="922"/>
      <c r="AF20" s="951">
        <f t="shared" si="7"/>
        <v>53886</v>
      </c>
      <c r="AG20" s="952">
        <f t="shared" si="6"/>
        <v>37.273293214359825</v>
      </c>
      <c r="AH20" s="922"/>
      <c r="AI20" s="922"/>
      <c r="AJ20" s="922"/>
      <c r="AK20" s="922"/>
      <c r="AL20" s="922"/>
      <c r="AM20" s="922"/>
      <c r="AN20" s="922"/>
      <c r="AO20" s="922"/>
      <c r="AP20" s="922"/>
      <c r="AQ20" s="922"/>
    </row>
    <row r="21" spans="1:43" ht="37.5" customHeight="1">
      <c r="A21" s="953" t="s">
        <v>913</v>
      </c>
      <c r="B21" s="954" t="s">
        <v>29</v>
      </c>
      <c r="C21" s="925"/>
      <c r="D21" s="906"/>
      <c r="E21" s="905"/>
      <c r="F21" s="906"/>
      <c r="G21" s="907">
        <f t="shared" ref="G21:M21" si="9">G22</f>
        <v>93070</v>
      </c>
      <c r="H21" s="907">
        <f t="shared" si="9"/>
        <v>86500</v>
      </c>
      <c r="I21" s="907">
        <f t="shared" si="9"/>
        <v>6570</v>
      </c>
      <c r="J21" s="907">
        <f t="shared" si="9"/>
        <v>86500</v>
      </c>
      <c r="K21" s="907">
        <f t="shared" si="9"/>
        <v>24356</v>
      </c>
      <c r="L21" s="908">
        <f t="shared" si="9"/>
        <v>21630</v>
      </c>
      <c r="M21" s="907">
        <f t="shared" si="9"/>
        <v>21000</v>
      </c>
      <c r="N21" s="907">
        <f>N22</f>
        <v>630</v>
      </c>
      <c r="O21" s="906"/>
      <c r="P21" s="927"/>
      <c r="Q21" s="912"/>
      <c r="S21" s="911"/>
      <c r="T21" s="911"/>
      <c r="U21" s="912"/>
      <c r="V21" s="945"/>
      <c r="W21" s="945"/>
      <c r="X21" s="914">
        <f t="shared" si="2"/>
        <v>648.9</v>
      </c>
      <c r="AF21" s="946">
        <f t="shared" si="7"/>
        <v>45986</v>
      </c>
      <c r="AG21" s="947">
        <f t="shared" si="6"/>
        <v>49.410121413989472</v>
      </c>
    </row>
    <row r="22" spans="1:43" s="904" customFormat="1" ht="44.25" customHeight="1">
      <c r="A22" s="955"/>
      <c r="B22" s="929" t="s">
        <v>902</v>
      </c>
      <c r="C22" s="930"/>
      <c r="D22" s="934"/>
      <c r="E22" s="956"/>
      <c r="F22" s="934"/>
      <c r="G22" s="957">
        <f t="shared" ref="G22:M22" si="10">SUM(G23:G24)</f>
        <v>93070</v>
      </c>
      <c r="H22" s="957">
        <f t="shared" si="10"/>
        <v>86500</v>
      </c>
      <c r="I22" s="957">
        <f t="shared" si="10"/>
        <v>6570</v>
      </c>
      <c r="J22" s="957">
        <f t="shared" si="10"/>
        <v>86500</v>
      </c>
      <c r="K22" s="957">
        <f t="shared" si="10"/>
        <v>24356</v>
      </c>
      <c r="L22" s="958">
        <f t="shared" si="10"/>
        <v>21630</v>
      </c>
      <c r="M22" s="957">
        <f t="shared" si="10"/>
        <v>21000</v>
      </c>
      <c r="N22" s="957">
        <f>SUM(N23:N24)</f>
        <v>630</v>
      </c>
      <c r="O22" s="934"/>
      <c r="P22" s="935"/>
      <c r="Q22" s="936"/>
      <c r="R22" s="887"/>
      <c r="S22" s="937"/>
      <c r="T22" s="937"/>
      <c r="U22" s="936"/>
      <c r="V22" s="938" t="s">
        <v>914</v>
      </c>
      <c r="W22" s="938" t="s">
        <v>915</v>
      </c>
      <c r="X22" s="939">
        <f t="shared" si="2"/>
        <v>648.9</v>
      </c>
      <c r="Y22" s="903"/>
      <c r="Z22" s="903"/>
      <c r="AA22" s="903"/>
      <c r="AB22" s="903"/>
      <c r="AC22" s="903"/>
      <c r="AD22" s="903"/>
      <c r="AE22" s="903"/>
      <c r="AF22" s="946">
        <f t="shared" si="7"/>
        <v>45986</v>
      </c>
      <c r="AG22" s="947">
        <f t="shared" si="6"/>
        <v>49.410121413989472</v>
      </c>
      <c r="AH22" s="903"/>
      <c r="AI22" s="903"/>
      <c r="AJ22" s="903"/>
      <c r="AK22" s="903"/>
      <c r="AL22" s="903"/>
      <c r="AM22" s="903"/>
      <c r="AN22" s="903"/>
      <c r="AO22" s="903"/>
      <c r="AP22" s="903"/>
      <c r="AQ22" s="903"/>
    </row>
    <row r="23" spans="1:43" s="388" customFormat="1" ht="86.25" customHeight="1">
      <c r="A23" s="1046">
        <v>1</v>
      </c>
      <c r="B23" s="1047" t="s">
        <v>916</v>
      </c>
      <c r="C23" s="1048" t="s">
        <v>917</v>
      </c>
      <c r="D23" s="1049" t="s">
        <v>918</v>
      </c>
      <c r="E23" s="1048" t="s">
        <v>919</v>
      </c>
      <c r="F23" s="1050"/>
      <c r="G23" s="1051">
        <f>SUM(H23:I23)</f>
        <v>71070</v>
      </c>
      <c r="H23" s="1051">
        <v>69000</v>
      </c>
      <c r="I23" s="1051">
        <f>H23*3%</f>
        <v>2070</v>
      </c>
      <c r="J23" s="1051">
        <v>69000</v>
      </c>
      <c r="K23" s="1052">
        <v>21656</v>
      </c>
      <c r="L23" s="1053">
        <f>M23+N23</f>
        <v>17510</v>
      </c>
      <c r="M23" s="1052">
        <v>17000</v>
      </c>
      <c r="N23" s="1052">
        <f>M23*3%</f>
        <v>510</v>
      </c>
      <c r="O23" s="1054" t="s">
        <v>245</v>
      </c>
      <c r="P23" s="1055"/>
      <c r="Q23" s="1056">
        <v>4</v>
      </c>
      <c r="R23" s="1033"/>
      <c r="S23" s="1034"/>
      <c r="T23" s="1034"/>
      <c r="U23" s="1032">
        <v>1</v>
      </c>
      <c r="V23" s="1036"/>
      <c r="W23" s="1036"/>
      <c r="X23" s="1037">
        <f t="shared" si="2"/>
        <v>525.29999999999995</v>
      </c>
      <c r="Y23" s="1035">
        <v>4</v>
      </c>
      <c r="Z23" s="1035"/>
      <c r="AA23" s="1035"/>
      <c r="AB23" s="1035"/>
      <c r="AC23" s="1035"/>
      <c r="AD23" s="1035"/>
      <c r="AE23" s="1035"/>
      <c r="AF23" s="1038">
        <f t="shared" si="7"/>
        <v>39166</v>
      </c>
      <c r="AG23" s="1039">
        <f t="shared" si="6"/>
        <v>55.10904741803855</v>
      </c>
      <c r="AH23" s="1035"/>
      <c r="AI23" s="1035"/>
      <c r="AJ23" s="1035"/>
      <c r="AK23" s="1035"/>
      <c r="AL23" s="1035"/>
      <c r="AM23" s="1035"/>
      <c r="AN23" s="1035"/>
      <c r="AO23" s="1035"/>
      <c r="AP23" s="1035"/>
      <c r="AQ23" s="1035"/>
    </row>
    <row r="24" spans="1:43" s="388" customFormat="1" ht="105.75" customHeight="1">
      <c r="A24" s="1057">
        <v>2</v>
      </c>
      <c r="B24" s="1058" t="s">
        <v>920</v>
      </c>
      <c r="C24" s="1059" t="s">
        <v>921</v>
      </c>
      <c r="D24" s="1058" t="s">
        <v>922</v>
      </c>
      <c r="E24" s="1060" t="s">
        <v>908</v>
      </c>
      <c r="F24" s="1061"/>
      <c r="G24" s="1062">
        <f>SUM(H24:I24)</f>
        <v>22000</v>
      </c>
      <c r="H24" s="1062">
        <f>3500+4500+2500+10000-3000</f>
        <v>17500</v>
      </c>
      <c r="I24" s="1062">
        <v>4500</v>
      </c>
      <c r="J24" s="1062">
        <f>3500+4500+2500+10000-3000</f>
        <v>17500</v>
      </c>
      <c r="K24" s="1051">
        <v>2700</v>
      </c>
      <c r="L24" s="1053">
        <f>M24+N24</f>
        <v>4120</v>
      </c>
      <c r="M24" s="1051">
        <v>4000</v>
      </c>
      <c r="N24" s="1052">
        <f>M24*3%</f>
        <v>120</v>
      </c>
      <c r="O24" s="1054" t="s">
        <v>245</v>
      </c>
      <c r="P24" s="1055"/>
      <c r="Q24" s="1032">
        <v>5</v>
      </c>
      <c r="R24" s="1033"/>
      <c r="S24" s="1034"/>
      <c r="T24" s="1034"/>
      <c r="U24" s="1032">
        <v>2</v>
      </c>
      <c r="V24" s="1036"/>
      <c r="W24" s="1036"/>
      <c r="X24" s="1037">
        <f t="shared" si="2"/>
        <v>123.6</v>
      </c>
      <c r="Y24" s="1035">
        <v>5</v>
      </c>
      <c r="Z24" s="1035"/>
      <c r="AA24" s="1035"/>
      <c r="AB24" s="1035"/>
      <c r="AC24" s="1035"/>
      <c r="AD24" s="1035"/>
      <c r="AE24" s="1035"/>
      <c r="AF24" s="1038">
        <f t="shared" si="7"/>
        <v>6820</v>
      </c>
      <c r="AG24" s="1039">
        <f t="shared" si="6"/>
        <v>31</v>
      </c>
      <c r="AH24" s="1035"/>
      <c r="AI24" s="1035"/>
      <c r="AJ24" s="1035"/>
      <c r="AK24" s="1035"/>
      <c r="AL24" s="1035"/>
      <c r="AM24" s="1035"/>
      <c r="AN24" s="1035"/>
      <c r="AO24" s="1035"/>
      <c r="AP24" s="1035"/>
      <c r="AQ24" s="1035"/>
    </row>
    <row r="25" spans="1:43" ht="33" customHeight="1">
      <c r="A25" s="953" t="s">
        <v>923</v>
      </c>
      <c r="B25" s="954" t="s">
        <v>924</v>
      </c>
      <c r="C25" s="953"/>
      <c r="D25" s="953"/>
      <c r="E25" s="953"/>
      <c r="F25" s="953"/>
      <c r="G25" s="966">
        <f t="shared" ref="G25:N25" si="11">G26</f>
        <v>51500</v>
      </c>
      <c r="H25" s="966">
        <f t="shared" si="11"/>
        <v>50000</v>
      </c>
      <c r="I25" s="966">
        <f t="shared" si="11"/>
        <v>1500</v>
      </c>
      <c r="J25" s="966">
        <f t="shared" si="11"/>
        <v>50000</v>
      </c>
      <c r="K25" s="967">
        <f t="shared" si="11"/>
        <v>2750</v>
      </c>
      <c r="L25" s="968">
        <f t="shared" si="11"/>
        <v>5150</v>
      </c>
      <c r="M25" s="967">
        <f t="shared" si="11"/>
        <v>5000</v>
      </c>
      <c r="N25" s="967">
        <f t="shared" si="11"/>
        <v>150</v>
      </c>
      <c r="O25" s="963"/>
      <c r="P25" s="964"/>
      <c r="Q25" s="912"/>
      <c r="S25" s="911"/>
      <c r="T25" s="911"/>
      <c r="U25" s="912"/>
      <c r="V25" s="945"/>
      <c r="W25" s="945"/>
      <c r="X25" s="914">
        <f t="shared" si="2"/>
        <v>154.5</v>
      </c>
      <c r="AF25" s="946">
        <f t="shared" si="7"/>
        <v>7900</v>
      </c>
      <c r="AG25" s="947">
        <f t="shared" si="6"/>
        <v>15.339805825242719</v>
      </c>
    </row>
    <row r="26" spans="1:43" ht="38.25" customHeight="1">
      <c r="A26" s="955"/>
      <c r="B26" s="969" t="s">
        <v>902</v>
      </c>
      <c r="C26" s="955"/>
      <c r="D26" s="955"/>
      <c r="E26" s="955"/>
      <c r="F26" s="955"/>
      <c r="G26" s="970">
        <f t="shared" ref="G26:N26" si="12">SUM(G27:G27)</f>
        <v>51500</v>
      </c>
      <c r="H26" s="970">
        <f t="shared" si="12"/>
        <v>50000</v>
      </c>
      <c r="I26" s="970">
        <f t="shared" si="12"/>
        <v>1500</v>
      </c>
      <c r="J26" s="970">
        <f t="shared" si="12"/>
        <v>50000</v>
      </c>
      <c r="K26" s="971">
        <f t="shared" si="12"/>
        <v>2750</v>
      </c>
      <c r="L26" s="972">
        <f t="shared" si="12"/>
        <v>5150</v>
      </c>
      <c r="M26" s="971">
        <f t="shared" si="12"/>
        <v>5000</v>
      </c>
      <c r="N26" s="971">
        <f t="shared" si="12"/>
        <v>150</v>
      </c>
      <c r="O26" s="963"/>
      <c r="P26" s="964"/>
      <c r="Q26" s="912"/>
      <c r="S26" s="911"/>
      <c r="T26" s="911"/>
      <c r="U26" s="912"/>
      <c r="V26" s="945" t="s">
        <v>925</v>
      </c>
      <c r="W26" s="945" t="s">
        <v>915</v>
      </c>
      <c r="X26" s="914">
        <f t="shared" si="2"/>
        <v>154.5</v>
      </c>
      <c r="AF26" s="946">
        <f t="shared" si="7"/>
        <v>7900</v>
      </c>
      <c r="AG26" s="947">
        <f t="shared" si="6"/>
        <v>15.339805825242719</v>
      </c>
    </row>
    <row r="27" spans="1:43" s="388" customFormat="1" ht="70.5" customHeight="1">
      <c r="A27" s="1057">
        <v>1</v>
      </c>
      <c r="B27" s="1058" t="s">
        <v>926</v>
      </c>
      <c r="C27" s="1059" t="s">
        <v>278</v>
      </c>
      <c r="D27" s="1060" t="s">
        <v>927</v>
      </c>
      <c r="E27" s="1060" t="s">
        <v>919</v>
      </c>
      <c r="F27" s="1061"/>
      <c r="G27" s="1062">
        <f>SUM(H27:I27)</f>
        <v>51500</v>
      </c>
      <c r="H27" s="1062">
        <f>60000-10000</f>
        <v>50000</v>
      </c>
      <c r="I27" s="1062">
        <f>H27*3%</f>
        <v>1500</v>
      </c>
      <c r="J27" s="1062">
        <f>60000-10000</f>
        <v>50000</v>
      </c>
      <c r="K27" s="1052">
        <v>2750</v>
      </c>
      <c r="L27" s="1053">
        <f>M27+N27</f>
        <v>5150</v>
      </c>
      <c r="M27" s="1052">
        <v>5000</v>
      </c>
      <c r="N27" s="1052">
        <f>M27*3%</f>
        <v>150</v>
      </c>
      <c r="O27" s="1054" t="s">
        <v>245</v>
      </c>
      <c r="P27" s="1055"/>
      <c r="Q27" s="1032">
        <v>6</v>
      </c>
      <c r="R27" s="1033"/>
      <c r="S27" s="1034"/>
      <c r="T27" s="1034"/>
      <c r="U27" s="1032">
        <v>3</v>
      </c>
      <c r="V27" s="1036"/>
      <c r="W27" s="1036"/>
      <c r="X27" s="1037">
        <f t="shared" si="2"/>
        <v>154.5</v>
      </c>
      <c r="Y27" s="1035">
        <v>6</v>
      </c>
      <c r="Z27" s="1035"/>
      <c r="AA27" s="1035"/>
      <c r="AB27" s="1035"/>
      <c r="AC27" s="1035"/>
      <c r="AD27" s="1035"/>
      <c r="AE27" s="1035"/>
      <c r="AF27" s="1038">
        <f t="shared" si="7"/>
        <v>7900</v>
      </c>
      <c r="AG27" s="1039">
        <f t="shared" si="6"/>
        <v>15.339805825242719</v>
      </c>
      <c r="AH27" s="1035"/>
      <c r="AI27" s="1035"/>
      <c r="AJ27" s="1035"/>
      <c r="AK27" s="1035"/>
      <c r="AL27" s="1035"/>
      <c r="AM27" s="1035"/>
      <c r="AN27" s="1035"/>
      <c r="AO27" s="1035"/>
      <c r="AP27" s="1035"/>
      <c r="AQ27" s="1035"/>
    </row>
    <row r="28" spans="1:43" s="104" customFormat="1" ht="37.5" customHeight="1">
      <c r="A28" s="915" t="s">
        <v>140</v>
      </c>
      <c r="B28" s="916" t="s">
        <v>928</v>
      </c>
      <c r="C28" s="949"/>
      <c r="D28" s="917"/>
      <c r="E28" s="915"/>
      <c r="F28" s="917"/>
      <c r="G28" s="908">
        <f t="shared" ref="G28:N28" si="13">G29+G57</f>
        <v>215078.38</v>
      </c>
      <c r="H28" s="908">
        <f t="shared" si="13"/>
        <v>207843</v>
      </c>
      <c r="I28" s="908">
        <f t="shared" si="13"/>
        <v>7235.380000000001</v>
      </c>
      <c r="J28" s="908">
        <f t="shared" si="13"/>
        <v>207843</v>
      </c>
      <c r="K28" s="908">
        <f t="shared" si="13"/>
        <v>109578</v>
      </c>
      <c r="L28" s="908">
        <f t="shared" si="13"/>
        <v>34947.33</v>
      </c>
      <c r="M28" s="908">
        <f t="shared" si="13"/>
        <v>33929</v>
      </c>
      <c r="N28" s="908">
        <f t="shared" si="13"/>
        <v>1018.33</v>
      </c>
      <c r="O28" s="917"/>
      <c r="P28" s="918"/>
      <c r="Q28" s="919"/>
      <c r="R28" s="920"/>
      <c r="S28" s="921"/>
      <c r="T28" s="921"/>
      <c r="U28" s="919"/>
      <c r="V28" s="950"/>
      <c r="W28" s="950"/>
      <c r="X28" s="923">
        <f t="shared" si="2"/>
        <v>1048.4199000000001</v>
      </c>
      <c r="Y28" s="922"/>
      <c r="Z28" s="922"/>
      <c r="AA28" s="922"/>
      <c r="AB28" s="922"/>
      <c r="AC28" s="922"/>
      <c r="AD28" s="922"/>
      <c r="AE28" s="922"/>
      <c r="AF28" s="951">
        <f t="shared" si="7"/>
        <v>144525.33000000002</v>
      </c>
      <c r="AG28" s="952">
        <f t="shared" si="6"/>
        <v>67.196586658314999</v>
      </c>
      <c r="AH28" s="922"/>
      <c r="AI28" s="922"/>
      <c r="AJ28" s="922"/>
      <c r="AK28" s="922"/>
      <c r="AL28" s="922"/>
      <c r="AM28" s="922"/>
      <c r="AN28" s="922"/>
      <c r="AO28" s="922"/>
      <c r="AP28" s="922"/>
      <c r="AQ28" s="922"/>
    </row>
    <row r="29" spans="1:43" s="104" customFormat="1" ht="37.5" customHeight="1">
      <c r="A29" s="915" t="s">
        <v>66</v>
      </c>
      <c r="B29" s="916" t="s">
        <v>46</v>
      </c>
      <c r="C29" s="949"/>
      <c r="D29" s="917"/>
      <c r="E29" s="915"/>
      <c r="F29" s="917"/>
      <c r="G29" s="908">
        <f t="shared" ref="G29:N29" si="14">G30+G42+G49+G54</f>
        <v>144787.19</v>
      </c>
      <c r="H29" s="908">
        <f t="shared" si="14"/>
        <v>140570</v>
      </c>
      <c r="I29" s="908">
        <f t="shared" si="14"/>
        <v>4217.1900000000005</v>
      </c>
      <c r="J29" s="908">
        <f t="shared" si="14"/>
        <v>140570</v>
      </c>
      <c r="K29" s="908">
        <f t="shared" si="14"/>
        <v>66592</v>
      </c>
      <c r="L29" s="908">
        <f t="shared" si="14"/>
        <v>15831.329999999998</v>
      </c>
      <c r="M29" s="908">
        <f t="shared" si="14"/>
        <v>15370</v>
      </c>
      <c r="N29" s="908">
        <f t="shared" si="14"/>
        <v>461.33000000000004</v>
      </c>
      <c r="O29" s="917"/>
      <c r="P29" s="918"/>
      <c r="Q29" s="919"/>
      <c r="R29" s="920"/>
      <c r="S29" s="921"/>
      <c r="T29" s="921"/>
      <c r="U29" s="919"/>
      <c r="V29" s="950"/>
      <c r="W29" s="950"/>
      <c r="X29" s="923">
        <f t="shared" si="2"/>
        <v>474.93989999999991</v>
      </c>
      <c r="Y29" s="922"/>
      <c r="Z29" s="922"/>
      <c r="AA29" s="922"/>
      <c r="AB29" s="922"/>
      <c r="AC29" s="922"/>
      <c r="AD29" s="922"/>
      <c r="AE29" s="922"/>
      <c r="AF29" s="951">
        <f t="shared" si="7"/>
        <v>82423.33</v>
      </c>
      <c r="AG29" s="952">
        <f t="shared" si="6"/>
        <v>56.927225398876793</v>
      </c>
      <c r="AH29" s="922"/>
      <c r="AI29" s="922"/>
      <c r="AJ29" s="922"/>
      <c r="AK29" s="922"/>
      <c r="AL29" s="922"/>
      <c r="AM29" s="922"/>
      <c r="AN29" s="922"/>
      <c r="AO29" s="922"/>
      <c r="AP29" s="922"/>
      <c r="AQ29" s="922"/>
    </row>
    <row r="30" spans="1:43" ht="37.5" customHeight="1">
      <c r="A30" s="925" t="s">
        <v>901</v>
      </c>
      <c r="B30" s="926" t="s">
        <v>929</v>
      </c>
      <c r="C30" s="925"/>
      <c r="D30" s="973"/>
      <c r="E30" s="925"/>
      <c r="F30" s="973"/>
      <c r="G30" s="974">
        <f t="shared" ref="G30:N30" si="15">G31</f>
        <v>77035</v>
      </c>
      <c r="H30" s="974">
        <f t="shared" si="15"/>
        <v>74790</v>
      </c>
      <c r="I30" s="974">
        <f t="shared" si="15"/>
        <v>2245</v>
      </c>
      <c r="J30" s="974">
        <f t="shared" si="15"/>
        <v>74790</v>
      </c>
      <c r="K30" s="974">
        <f t="shared" si="15"/>
        <v>44814</v>
      </c>
      <c r="L30" s="975">
        <f t="shared" si="15"/>
        <v>2286.5999999999995</v>
      </c>
      <c r="M30" s="974">
        <f t="shared" si="15"/>
        <v>2220</v>
      </c>
      <c r="N30" s="974">
        <f t="shared" si="15"/>
        <v>66.599999999999994</v>
      </c>
      <c r="O30" s="906"/>
      <c r="P30" s="927"/>
      <c r="Q30" s="912"/>
      <c r="S30" s="911"/>
      <c r="T30" s="911"/>
      <c r="U30" s="912"/>
      <c r="V30" s="945"/>
      <c r="W30" s="945"/>
      <c r="X30" s="914">
        <f t="shared" si="2"/>
        <v>68.597999999999985</v>
      </c>
      <c r="AF30" s="946">
        <f t="shared" si="7"/>
        <v>47100.6</v>
      </c>
      <c r="AG30" s="947">
        <f t="shared" si="6"/>
        <v>61.141818653858635</v>
      </c>
    </row>
    <row r="31" spans="1:43" s="904" customFormat="1" ht="39.75" customHeight="1">
      <c r="A31" s="928"/>
      <c r="B31" s="929" t="s">
        <v>902</v>
      </c>
      <c r="C31" s="930"/>
      <c r="D31" s="931"/>
      <c r="E31" s="930"/>
      <c r="F31" s="931"/>
      <c r="G31" s="932">
        <f t="shared" ref="G31:L31" si="16">SUM(G32:G41)</f>
        <v>77035</v>
      </c>
      <c r="H31" s="932">
        <f t="shared" si="16"/>
        <v>74790</v>
      </c>
      <c r="I31" s="932">
        <f t="shared" si="16"/>
        <v>2245</v>
      </c>
      <c r="J31" s="932">
        <f t="shared" si="16"/>
        <v>74790</v>
      </c>
      <c r="K31" s="932">
        <f t="shared" si="16"/>
        <v>44814</v>
      </c>
      <c r="L31" s="933">
        <f t="shared" si="16"/>
        <v>2286.5999999999995</v>
      </c>
      <c r="M31" s="932">
        <f>SUM(M32:M41)</f>
        <v>2220</v>
      </c>
      <c r="N31" s="932">
        <f>SUM(N32:N41)</f>
        <v>66.599999999999994</v>
      </c>
      <c r="O31" s="934"/>
      <c r="P31" s="935"/>
      <c r="Q31" s="936"/>
      <c r="R31" s="887"/>
      <c r="S31" s="937"/>
      <c r="T31" s="937"/>
      <c r="U31" s="936"/>
      <c r="V31" s="938" t="s">
        <v>903</v>
      </c>
      <c r="W31" s="938" t="s">
        <v>915</v>
      </c>
      <c r="X31" s="939">
        <f t="shared" si="2"/>
        <v>68.597999999999985</v>
      </c>
      <c r="Y31" s="903"/>
      <c r="Z31" s="903"/>
      <c r="AA31" s="903"/>
      <c r="AB31" s="903"/>
      <c r="AC31" s="903"/>
      <c r="AD31" s="903"/>
      <c r="AE31" s="903"/>
      <c r="AF31" s="946">
        <f t="shared" si="7"/>
        <v>47100.6</v>
      </c>
      <c r="AG31" s="947">
        <f t="shared" si="6"/>
        <v>61.141818653858635</v>
      </c>
      <c r="AH31" s="903"/>
      <c r="AI31" s="903"/>
      <c r="AJ31" s="903"/>
      <c r="AK31" s="903"/>
      <c r="AL31" s="903"/>
      <c r="AM31" s="903"/>
      <c r="AN31" s="903"/>
      <c r="AO31" s="903"/>
      <c r="AP31" s="903"/>
      <c r="AQ31" s="903"/>
    </row>
    <row r="32" spans="1:43" s="388" customFormat="1" ht="78" customHeight="1">
      <c r="A32" s="1063">
        <v>1</v>
      </c>
      <c r="B32" s="1041" t="s">
        <v>930</v>
      </c>
      <c r="C32" s="1026" t="s">
        <v>931</v>
      </c>
      <c r="D32" s="1041" t="s">
        <v>932</v>
      </c>
      <c r="E32" s="1026" t="s">
        <v>908</v>
      </c>
      <c r="F32" s="1064"/>
      <c r="G32" s="1028">
        <v>5150</v>
      </c>
      <c r="H32" s="1028">
        <v>5000</v>
      </c>
      <c r="I32" s="1065">
        <f>G32-H32</f>
        <v>150</v>
      </c>
      <c r="J32" s="1028">
        <v>5000</v>
      </c>
      <c r="K32" s="1028">
        <v>3090</v>
      </c>
      <c r="L32" s="1029">
        <f>M32+N32</f>
        <v>103</v>
      </c>
      <c r="M32" s="1028">
        <v>100</v>
      </c>
      <c r="N32" s="1028">
        <f>M32*3%</f>
        <v>3</v>
      </c>
      <c r="O32" s="1066"/>
      <c r="P32" s="986"/>
      <c r="Q32" s="1032">
        <v>7</v>
      </c>
      <c r="R32" s="1033"/>
      <c r="S32" s="1034"/>
      <c r="T32" s="1034"/>
      <c r="U32" s="1032"/>
      <c r="V32" s="1036"/>
      <c r="W32" s="1036"/>
      <c r="X32" s="1037">
        <f t="shared" si="2"/>
        <v>3.09</v>
      </c>
      <c r="Y32" s="1035">
        <v>7</v>
      </c>
      <c r="Z32" s="1035"/>
      <c r="AA32" s="1035"/>
      <c r="AB32" s="1035"/>
      <c r="AC32" s="1035"/>
      <c r="AD32" s="1035"/>
      <c r="AE32" s="1035"/>
      <c r="AF32" s="1038">
        <f t="shared" si="7"/>
        <v>3193</v>
      </c>
      <c r="AG32" s="1039">
        <f t="shared" si="6"/>
        <v>62</v>
      </c>
      <c r="AH32" s="1035"/>
      <c r="AI32" s="1035"/>
      <c r="AJ32" s="1035"/>
      <c r="AK32" s="1035"/>
      <c r="AL32" s="1035"/>
      <c r="AM32" s="1035"/>
      <c r="AN32" s="1035"/>
      <c r="AO32" s="1035"/>
      <c r="AP32" s="1035"/>
      <c r="AQ32" s="1035"/>
    </row>
    <row r="33" spans="1:43" s="388" customFormat="1" ht="186.75" customHeight="1">
      <c r="A33" s="1067">
        <v>2</v>
      </c>
      <c r="B33" s="1041" t="s">
        <v>933</v>
      </c>
      <c r="C33" s="1024" t="s">
        <v>934</v>
      </c>
      <c r="D33" s="1044" t="s">
        <v>935</v>
      </c>
      <c r="E33" s="1026" t="s">
        <v>908</v>
      </c>
      <c r="F33" s="1027"/>
      <c r="G33" s="1028">
        <f>SUM(H33:I33)</f>
        <v>7416</v>
      </c>
      <c r="H33" s="1028">
        <v>7200</v>
      </c>
      <c r="I33" s="1028">
        <v>216</v>
      </c>
      <c r="J33" s="1028">
        <v>7200</v>
      </c>
      <c r="K33" s="1028">
        <v>4449.5999999999995</v>
      </c>
      <c r="L33" s="1029">
        <f t="shared" ref="L33:L41" si="17">M33+N33</f>
        <v>236.9</v>
      </c>
      <c r="M33" s="1028">
        <v>230</v>
      </c>
      <c r="N33" s="1028">
        <f t="shared" ref="N33:N41" si="18">M33*3%</f>
        <v>6.8999999999999995</v>
      </c>
      <c r="O33" s="1066"/>
      <c r="P33" s="986"/>
      <c r="Q33" s="1032">
        <v>8</v>
      </c>
      <c r="R33" s="1033"/>
      <c r="S33" s="1034"/>
      <c r="T33" s="1034"/>
      <c r="U33" s="1032"/>
      <c r="V33" s="1036"/>
      <c r="W33" s="1036"/>
      <c r="X33" s="1037">
        <f t="shared" si="2"/>
        <v>7.1070000000000002</v>
      </c>
      <c r="Y33" s="1035">
        <v>8</v>
      </c>
      <c r="Z33" s="1035"/>
      <c r="AA33" s="1035"/>
      <c r="AB33" s="1035"/>
      <c r="AC33" s="1035"/>
      <c r="AD33" s="1035"/>
      <c r="AE33" s="1035"/>
      <c r="AF33" s="1038">
        <f t="shared" si="7"/>
        <v>4686.4999999999991</v>
      </c>
      <c r="AG33" s="1039">
        <f t="shared" si="6"/>
        <v>63.194444444444429</v>
      </c>
      <c r="AH33" s="1035"/>
      <c r="AI33" s="1035"/>
      <c r="AJ33" s="1035"/>
      <c r="AK33" s="1035"/>
      <c r="AL33" s="1035"/>
      <c r="AM33" s="1035"/>
      <c r="AN33" s="1035"/>
      <c r="AO33" s="1035"/>
      <c r="AP33" s="1035"/>
      <c r="AQ33" s="1035"/>
    </row>
    <row r="34" spans="1:43" s="388" customFormat="1" ht="63" customHeight="1">
      <c r="A34" s="1063">
        <v>3</v>
      </c>
      <c r="B34" s="1023" t="s">
        <v>936</v>
      </c>
      <c r="C34" s="1024" t="s">
        <v>937</v>
      </c>
      <c r="D34" s="1041" t="s">
        <v>938</v>
      </c>
      <c r="E34" s="1026" t="s">
        <v>908</v>
      </c>
      <c r="F34" s="1064"/>
      <c r="G34" s="1028">
        <v>6901</v>
      </c>
      <c r="H34" s="1028">
        <v>6700</v>
      </c>
      <c r="I34" s="1065">
        <f t="shared" ref="I34:I40" si="19">G34-H34</f>
        <v>201</v>
      </c>
      <c r="J34" s="1028">
        <v>6700</v>
      </c>
      <c r="K34" s="1028">
        <f>4140.6-441</f>
        <v>3699.6000000000004</v>
      </c>
      <c r="L34" s="1029">
        <f t="shared" si="17"/>
        <v>206</v>
      </c>
      <c r="M34" s="1028">
        <v>200</v>
      </c>
      <c r="N34" s="1028">
        <f t="shared" si="18"/>
        <v>6</v>
      </c>
      <c r="O34" s="1066"/>
      <c r="P34" s="986"/>
      <c r="Q34" s="1032">
        <v>9</v>
      </c>
      <c r="R34" s="1033"/>
      <c r="S34" s="1034"/>
      <c r="T34" s="1034"/>
      <c r="U34" s="1032"/>
      <c r="V34" s="1036"/>
      <c r="W34" s="1036"/>
      <c r="X34" s="1037">
        <f t="shared" si="2"/>
        <v>6.18</v>
      </c>
      <c r="Y34" s="1035">
        <v>9</v>
      </c>
      <c r="Z34" s="1035"/>
      <c r="AA34" s="1035"/>
      <c r="AB34" s="1035"/>
      <c r="AC34" s="1035"/>
      <c r="AD34" s="1035"/>
      <c r="AE34" s="1035"/>
      <c r="AF34" s="1038">
        <f t="shared" si="7"/>
        <v>3905.6000000000004</v>
      </c>
      <c r="AG34" s="1039">
        <f t="shared" si="6"/>
        <v>56.594696420808589</v>
      </c>
      <c r="AH34" s="1035"/>
      <c r="AI34" s="1035"/>
      <c r="AJ34" s="1035"/>
      <c r="AK34" s="1035"/>
      <c r="AL34" s="1035"/>
      <c r="AM34" s="1035"/>
      <c r="AN34" s="1035"/>
      <c r="AO34" s="1035"/>
      <c r="AP34" s="1035"/>
      <c r="AQ34" s="1035"/>
    </row>
    <row r="35" spans="1:43" s="388" customFormat="1" ht="61.5" customHeight="1">
      <c r="A35" s="1067">
        <v>4</v>
      </c>
      <c r="B35" s="1023" t="s">
        <v>939</v>
      </c>
      <c r="C35" s="1024" t="s">
        <v>906</v>
      </c>
      <c r="D35" s="1041" t="s">
        <v>940</v>
      </c>
      <c r="E35" s="1026" t="s">
        <v>908</v>
      </c>
      <c r="F35" s="1064"/>
      <c r="G35" s="1028">
        <v>9013</v>
      </c>
      <c r="H35" s="1028">
        <v>8750</v>
      </c>
      <c r="I35" s="1065">
        <f t="shared" si="19"/>
        <v>263</v>
      </c>
      <c r="J35" s="1028">
        <v>8750</v>
      </c>
      <c r="K35" s="1028">
        <f>5407.8-483</f>
        <v>4924.8</v>
      </c>
      <c r="L35" s="1029">
        <f t="shared" si="17"/>
        <v>710.7</v>
      </c>
      <c r="M35" s="1028">
        <v>690</v>
      </c>
      <c r="N35" s="1028">
        <f t="shared" si="18"/>
        <v>20.7</v>
      </c>
      <c r="O35" s="1066"/>
      <c r="P35" s="986"/>
      <c r="Q35" s="1032">
        <v>10</v>
      </c>
      <c r="R35" s="1033"/>
      <c r="S35" s="1034"/>
      <c r="T35" s="1034"/>
      <c r="U35" s="1032"/>
      <c r="V35" s="1036"/>
      <c r="W35" s="1036"/>
      <c r="X35" s="1037">
        <f t="shared" si="2"/>
        <v>21.321000000000002</v>
      </c>
      <c r="Y35" s="1035">
        <v>10</v>
      </c>
      <c r="Z35" s="1035"/>
      <c r="AA35" s="1035"/>
      <c r="AB35" s="1035"/>
      <c r="AC35" s="1035"/>
      <c r="AD35" s="1035"/>
      <c r="AE35" s="1035"/>
      <c r="AF35" s="1038">
        <f t="shared" si="7"/>
        <v>5635.5</v>
      </c>
      <c r="AG35" s="1039">
        <f t="shared" si="6"/>
        <v>62.526350826583823</v>
      </c>
      <c r="AH35" s="1035"/>
      <c r="AI35" s="1035"/>
      <c r="AJ35" s="1035"/>
      <c r="AK35" s="1035"/>
      <c r="AL35" s="1035"/>
      <c r="AM35" s="1035"/>
      <c r="AN35" s="1035"/>
      <c r="AO35" s="1035"/>
      <c r="AP35" s="1035"/>
      <c r="AQ35" s="1035"/>
    </row>
    <row r="36" spans="1:43" s="388" customFormat="1" ht="69.75" customHeight="1">
      <c r="A36" s="1063">
        <v>5</v>
      </c>
      <c r="B36" s="1023" t="s">
        <v>941</v>
      </c>
      <c r="C36" s="1024" t="s">
        <v>942</v>
      </c>
      <c r="D36" s="1041" t="s">
        <v>943</v>
      </c>
      <c r="E36" s="1026" t="s">
        <v>908</v>
      </c>
      <c r="F36" s="1068"/>
      <c r="G36" s="1028">
        <v>11639</v>
      </c>
      <c r="H36" s="1028">
        <v>11300</v>
      </c>
      <c r="I36" s="1065">
        <f t="shared" si="19"/>
        <v>339</v>
      </c>
      <c r="J36" s="1028">
        <v>11300</v>
      </c>
      <c r="K36" s="1028">
        <v>6983.4</v>
      </c>
      <c r="L36" s="1029">
        <f t="shared" si="17"/>
        <v>123.6</v>
      </c>
      <c r="M36" s="1028">
        <v>120</v>
      </c>
      <c r="N36" s="1028">
        <f t="shared" si="18"/>
        <v>3.5999999999999996</v>
      </c>
      <c r="O36" s="1066"/>
      <c r="P36" s="986"/>
      <c r="Q36" s="1032">
        <v>11</v>
      </c>
      <c r="R36" s="1033"/>
      <c r="S36" s="1034"/>
      <c r="T36" s="1034"/>
      <c r="U36" s="1032"/>
      <c r="V36" s="1036"/>
      <c r="W36" s="1036"/>
      <c r="X36" s="1037">
        <f t="shared" si="2"/>
        <v>3.7079999999999997</v>
      </c>
      <c r="Y36" s="1035">
        <v>11</v>
      </c>
      <c r="Z36" s="1035"/>
      <c r="AA36" s="1035"/>
      <c r="AB36" s="1035"/>
      <c r="AC36" s="1035"/>
      <c r="AD36" s="1035"/>
      <c r="AE36" s="1035"/>
      <c r="AF36" s="1038">
        <f t="shared" si="7"/>
        <v>7107</v>
      </c>
      <c r="AG36" s="1039">
        <f t="shared" si="6"/>
        <v>61.06194690265486</v>
      </c>
      <c r="AH36" s="1035"/>
      <c r="AI36" s="1035"/>
      <c r="AJ36" s="1035"/>
      <c r="AK36" s="1035"/>
      <c r="AL36" s="1035"/>
      <c r="AM36" s="1035"/>
      <c r="AN36" s="1035"/>
      <c r="AO36" s="1035"/>
      <c r="AP36" s="1035"/>
      <c r="AQ36" s="1035"/>
    </row>
    <row r="37" spans="1:43" s="388" customFormat="1" ht="69.75" customHeight="1">
      <c r="A37" s="1067">
        <v>6</v>
      </c>
      <c r="B37" s="1043" t="s">
        <v>944</v>
      </c>
      <c r="C37" s="1024" t="s">
        <v>942</v>
      </c>
      <c r="D37" s="1041" t="s">
        <v>945</v>
      </c>
      <c r="E37" s="1026" t="s">
        <v>908</v>
      </c>
      <c r="F37" s="1068"/>
      <c r="G37" s="1028">
        <v>9322</v>
      </c>
      <c r="H37" s="1028">
        <v>9050</v>
      </c>
      <c r="I37" s="1065">
        <f t="shared" si="19"/>
        <v>272</v>
      </c>
      <c r="J37" s="1028">
        <v>9050</v>
      </c>
      <c r="K37" s="1028">
        <v>5593.2</v>
      </c>
      <c r="L37" s="1029">
        <f t="shared" si="17"/>
        <v>164.8</v>
      </c>
      <c r="M37" s="1028">
        <v>160</v>
      </c>
      <c r="N37" s="1028">
        <f t="shared" si="18"/>
        <v>4.8</v>
      </c>
      <c r="O37" s="1066"/>
      <c r="P37" s="986"/>
      <c r="Q37" s="1032">
        <v>12</v>
      </c>
      <c r="R37" s="1033"/>
      <c r="S37" s="1034"/>
      <c r="T37" s="1034"/>
      <c r="U37" s="1032"/>
      <c r="V37" s="1036"/>
      <c r="W37" s="1036"/>
      <c r="X37" s="1037">
        <f t="shared" si="2"/>
        <v>4.944</v>
      </c>
      <c r="Y37" s="1035">
        <v>12</v>
      </c>
      <c r="Z37" s="1035"/>
      <c r="AA37" s="1035"/>
      <c r="AB37" s="1035"/>
      <c r="AC37" s="1035"/>
      <c r="AD37" s="1035"/>
      <c r="AE37" s="1035"/>
      <c r="AF37" s="1038">
        <f t="shared" si="7"/>
        <v>5758</v>
      </c>
      <c r="AG37" s="1039">
        <f t="shared" si="6"/>
        <v>61.767860974039898</v>
      </c>
      <c r="AH37" s="1035"/>
      <c r="AI37" s="1035"/>
      <c r="AJ37" s="1035"/>
      <c r="AK37" s="1035"/>
      <c r="AL37" s="1035"/>
      <c r="AM37" s="1035"/>
      <c r="AN37" s="1035"/>
      <c r="AO37" s="1035"/>
      <c r="AP37" s="1035"/>
      <c r="AQ37" s="1035"/>
    </row>
    <row r="38" spans="1:43" s="388" customFormat="1" ht="69.75" customHeight="1">
      <c r="A38" s="1063">
        <v>7</v>
      </c>
      <c r="B38" s="1069" t="s">
        <v>946</v>
      </c>
      <c r="C38" s="1024" t="s">
        <v>947</v>
      </c>
      <c r="D38" s="1041" t="s">
        <v>948</v>
      </c>
      <c r="E38" s="1026" t="s">
        <v>908</v>
      </c>
      <c r="F38" s="1068"/>
      <c r="G38" s="1028">
        <v>6180</v>
      </c>
      <c r="H38" s="1028">
        <v>6000</v>
      </c>
      <c r="I38" s="1065">
        <f t="shared" si="19"/>
        <v>180</v>
      </c>
      <c r="J38" s="1028">
        <v>6000</v>
      </c>
      <c r="K38" s="1028">
        <v>3708</v>
      </c>
      <c r="L38" s="1029">
        <f t="shared" si="17"/>
        <v>113.3</v>
      </c>
      <c r="M38" s="1028">
        <v>110</v>
      </c>
      <c r="N38" s="1028">
        <f t="shared" si="18"/>
        <v>3.3</v>
      </c>
      <c r="O38" s="1066"/>
      <c r="P38" s="986"/>
      <c r="Q38" s="1032">
        <v>13</v>
      </c>
      <c r="R38" s="1033"/>
      <c r="S38" s="1034"/>
      <c r="T38" s="1034"/>
      <c r="U38" s="1032"/>
      <c r="V38" s="1036"/>
      <c r="W38" s="1036"/>
      <c r="X38" s="1037">
        <f t="shared" si="2"/>
        <v>3.3989999999999996</v>
      </c>
      <c r="Y38" s="1035">
        <v>13</v>
      </c>
      <c r="Z38" s="1035"/>
      <c r="AA38" s="1035"/>
      <c r="AB38" s="1035"/>
      <c r="AC38" s="1035"/>
      <c r="AD38" s="1035"/>
      <c r="AE38" s="1035"/>
      <c r="AF38" s="1038">
        <f t="shared" si="7"/>
        <v>3821.3</v>
      </c>
      <c r="AG38" s="1039">
        <f t="shared" si="6"/>
        <v>61.833333333333343</v>
      </c>
      <c r="AH38" s="1035"/>
      <c r="AI38" s="1035"/>
      <c r="AJ38" s="1035"/>
      <c r="AK38" s="1035"/>
      <c r="AL38" s="1035"/>
      <c r="AM38" s="1035"/>
      <c r="AN38" s="1035"/>
      <c r="AO38" s="1035"/>
      <c r="AP38" s="1035"/>
      <c r="AQ38" s="1035"/>
    </row>
    <row r="39" spans="1:43" ht="86.25" customHeight="1">
      <c r="A39" s="977">
        <v>8</v>
      </c>
      <c r="B39" s="948" t="s">
        <v>949</v>
      </c>
      <c r="C39" s="940" t="s">
        <v>950</v>
      </c>
      <c r="D39" s="948" t="s">
        <v>951</v>
      </c>
      <c r="E39" s="941" t="s">
        <v>908</v>
      </c>
      <c r="F39" s="978"/>
      <c r="G39" s="942">
        <v>2163</v>
      </c>
      <c r="H39" s="942">
        <v>2100</v>
      </c>
      <c r="I39" s="976">
        <f t="shared" si="19"/>
        <v>63</v>
      </c>
      <c r="J39" s="942">
        <v>2100</v>
      </c>
      <c r="K39" s="942">
        <v>1297.8</v>
      </c>
      <c r="L39" s="943">
        <f t="shared" si="17"/>
        <v>103</v>
      </c>
      <c r="M39" s="942">
        <v>100</v>
      </c>
      <c r="N39" s="942">
        <f t="shared" si="18"/>
        <v>3</v>
      </c>
      <c r="O39" s="906"/>
      <c r="P39" s="927"/>
      <c r="Q39" s="912">
        <v>14</v>
      </c>
      <c r="S39" s="911"/>
      <c r="T39" s="911"/>
      <c r="U39" s="912"/>
      <c r="V39" s="945"/>
      <c r="W39" s="945"/>
      <c r="X39" s="914">
        <f t="shared" si="2"/>
        <v>3.09</v>
      </c>
      <c r="Y39" s="886">
        <v>14</v>
      </c>
      <c r="AF39" s="946">
        <f t="shared" si="7"/>
        <v>1400.8</v>
      </c>
      <c r="AG39" s="947">
        <f t="shared" si="6"/>
        <v>64.761904761904759</v>
      </c>
    </row>
    <row r="40" spans="1:43" s="388" customFormat="1" ht="80.25" customHeight="1">
      <c r="A40" s="1063">
        <v>9</v>
      </c>
      <c r="B40" s="1023" t="s">
        <v>952</v>
      </c>
      <c r="C40" s="1024" t="s">
        <v>953</v>
      </c>
      <c r="D40" s="1041" t="s">
        <v>954</v>
      </c>
      <c r="E40" s="1026" t="s">
        <v>908</v>
      </c>
      <c r="F40" s="1068"/>
      <c r="G40" s="1028">
        <v>7107</v>
      </c>
      <c r="H40" s="1028">
        <v>6900</v>
      </c>
      <c r="I40" s="1065">
        <f t="shared" si="19"/>
        <v>207</v>
      </c>
      <c r="J40" s="1028">
        <v>6900</v>
      </c>
      <c r="K40" s="1028">
        <v>4264.2</v>
      </c>
      <c r="L40" s="1029">
        <f t="shared" si="17"/>
        <v>113.3</v>
      </c>
      <c r="M40" s="1028">
        <v>110</v>
      </c>
      <c r="N40" s="1028">
        <f t="shared" si="18"/>
        <v>3.3</v>
      </c>
      <c r="O40" s="1066"/>
      <c r="P40" s="986"/>
      <c r="Q40" s="1032">
        <v>15</v>
      </c>
      <c r="R40" s="1033"/>
      <c r="S40" s="1034"/>
      <c r="T40" s="1034"/>
      <c r="U40" s="1032"/>
      <c r="V40" s="1036"/>
      <c r="W40" s="1036"/>
      <c r="X40" s="1037">
        <f t="shared" si="2"/>
        <v>3.3989999999999996</v>
      </c>
      <c r="Y40" s="1035">
        <v>15</v>
      </c>
      <c r="Z40" s="1035"/>
      <c r="AA40" s="1035"/>
      <c r="AB40" s="1035"/>
      <c r="AC40" s="1035"/>
      <c r="AD40" s="1035"/>
      <c r="AE40" s="1035"/>
      <c r="AF40" s="1038">
        <f t="shared" si="7"/>
        <v>4377.5</v>
      </c>
      <c r="AG40" s="1039">
        <f t="shared" si="6"/>
        <v>61.594202898550719</v>
      </c>
      <c r="AH40" s="1035"/>
      <c r="AI40" s="1035"/>
      <c r="AJ40" s="1035"/>
      <c r="AK40" s="1035"/>
      <c r="AL40" s="1035"/>
      <c r="AM40" s="1035"/>
      <c r="AN40" s="1035"/>
      <c r="AO40" s="1035"/>
      <c r="AP40" s="1035"/>
      <c r="AQ40" s="1035"/>
    </row>
    <row r="41" spans="1:43" s="388" customFormat="1" ht="87" customHeight="1">
      <c r="A41" s="1063">
        <v>10</v>
      </c>
      <c r="B41" s="1070" t="s">
        <v>955</v>
      </c>
      <c r="C41" s="1024" t="s">
        <v>906</v>
      </c>
      <c r="D41" s="1041" t="s">
        <v>956</v>
      </c>
      <c r="E41" s="1026" t="s">
        <v>908</v>
      </c>
      <c r="F41" s="1027"/>
      <c r="G41" s="1028">
        <f>SUM(H41:I41)</f>
        <v>12144</v>
      </c>
      <c r="H41" s="1028">
        <v>11790</v>
      </c>
      <c r="I41" s="1028">
        <v>354</v>
      </c>
      <c r="J41" s="1028">
        <v>11790</v>
      </c>
      <c r="K41" s="1028">
        <f>7286.4-483</f>
        <v>6803.4</v>
      </c>
      <c r="L41" s="1029">
        <f t="shared" si="17"/>
        <v>412</v>
      </c>
      <c r="M41" s="1028">
        <v>400</v>
      </c>
      <c r="N41" s="1028">
        <f t="shared" si="18"/>
        <v>12</v>
      </c>
      <c r="O41" s="1066"/>
      <c r="P41" s="986"/>
      <c r="Q41" s="1032">
        <v>16</v>
      </c>
      <c r="R41" s="1033"/>
      <c r="S41" s="1034"/>
      <c r="T41" s="1034"/>
      <c r="U41" s="1032"/>
      <c r="V41" s="1036"/>
      <c r="W41" s="1036"/>
      <c r="X41" s="1037">
        <f t="shared" si="2"/>
        <v>12.36</v>
      </c>
      <c r="Y41" s="1035">
        <v>16</v>
      </c>
      <c r="Z41" s="1035"/>
      <c r="AA41" s="1035"/>
      <c r="AB41" s="1035"/>
      <c r="AC41" s="1035"/>
      <c r="AD41" s="1035"/>
      <c r="AE41" s="1035"/>
      <c r="AF41" s="1038">
        <f t="shared" si="7"/>
        <v>7215.4</v>
      </c>
      <c r="AG41" s="1039">
        <f t="shared" si="6"/>
        <v>59.415349143610008</v>
      </c>
      <c r="AH41" s="1035"/>
      <c r="AI41" s="1035"/>
      <c r="AJ41" s="1035"/>
      <c r="AK41" s="1035"/>
      <c r="AL41" s="1035"/>
      <c r="AM41" s="1035"/>
      <c r="AN41" s="1035"/>
      <c r="AO41" s="1035"/>
      <c r="AP41" s="1035"/>
      <c r="AQ41" s="1035"/>
    </row>
    <row r="42" spans="1:43" ht="37.5" customHeight="1">
      <c r="A42" s="925" t="s">
        <v>957</v>
      </c>
      <c r="B42" s="926" t="s">
        <v>958</v>
      </c>
      <c r="C42" s="930"/>
      <c r="D42" s="929"/>
      <c r="E42" s="930"/>
      <c r="F42" s="931"/>
      <c r="G42" s="974">
        <f t="shared" ref="G42:N42" si="20">G43</f>
        <v>48388.19</v>
      </c>
      <c r="H42" s="974">
        <f t="shared" si="20"/>
        <v>46980</v>
      </c>
      <c r="I42" s="974">
        <f t="shared" si="20"/>
        <v>1408.1900000000005</v>
      </c>
      <c r="J42" s="974">
        <f t="shared" si="20"/>
        <v>46980</v>
      </c>
      <c r="K42" s="974">
        <f t="shared" si="20"/>
        <v>16400</v>
      </c>
      <c r="L42" s="975">
        <f t="shared" si="20"/>
        <v>8961</v>
      </c>
      <c r="M42" s="974">
        <f t="shared" si="20"/>
        <v>8700</v>
      </c>
      <c r="N42" s="974">
        <f t="shared" si="20"/>
        <v>261</v>
      </c>
      <c r="O42" s="906"/>
      <c r="P42" s="927"/>
      <c r="Q42" s="912"/>
      <c r="S42" s="911"/>
      <c r="T42" s="911"/>
      <c r="U42" s="912"/>
      <c r="V42" s="945" t="s">
        <v>903</v>
      </c>
      <c r="W42" s="945"/>
      <c r="X42" s="914">
        <f t="shared" si="2"/>
        <v>268.83</v>
      </c>
      <c r="AF42" s="946">
        <f t="shared" si="7"/>
        <v>25361</v>
      </c>
      <c r="AG42" s="947">
        <f t="shared" si="6"/>
        <v>52.411549181732155</v>
      </c>
    </row>
    <row r="43" spans="1:43" s="904" customFormat="1" ht="37.5" customHeight="1">
      <c r="A43" s="928"/>
      <c r="B43" s="929" t="s">
        <v>902</v>
      </c>
      <c r="C43" s="930"/>
      <c r="D43" s="929"/>
      <c r="E43" s="930"/>
      <c r="F43" s="931"/>
      <c r="G43" s="932">
        <f t="shared" ref="G43:N43" si="21">SUM(G44:G48)</f>
        <v>48388.19</v>
      </c>
      <c r="H43" s="932">
        <f t="shared" si="21"/>
        <v>46980</v>
      </c>
      <c r="I43" s="932">
        <f t="shared" si="21"/>
        <v>1408.1900000000005</v>
      </c>
      <c r="J43" s="932">
        <f t="shared" si="21"/>
        <v>46980</v>
      </c>
      <c r="K43" s="932">
        <f t="shared" si="21"/>
        <v>16400</v>
      </c>
      <c r="L43" s="933">
        <f t="shared" si="21"/>
        <v>8961</v>
      </c>
      <c r="M43" s="932">
        <f t="shared" si="21"/>
        <v>8700</v>
      </c>
      <c r="N43" s="932">
        <f t="shared" si="21"/>
        <v>261</v>
      </c>
      <c r="O43" s="934"/>
      <c r="P43" s="935"/>
      <c r="Q43" s="936"/>
      <c r="R43" s="887"/>
      <c r="S43" s="937"/>
      <c r="T43" s="937"/>
      <c r="U43" s="936"/>
      <c r="V43" s="938"/>
      <c r="W43" s="938" t="s">
        <v>959</v>
      </c>
      <c r="X43" s="939">
        <f t="shared" si="2"/>
        <v>268.83</v>
      </c>
      <c r="Y43" s="903"/>
      <c r="Z43" s="903"/>
      <c r="AA43" s="903"/>
      <c r="AB43" s="903"/>
      <c r="AC43" s="903"/>
      <c r="AD43" s="903"/>
      <c r="AE43" s="903"/>
      <c r="AF43" s="946">
        <f t="shared" si="7"/>
        <v>25361</v>
      </c>
      <c r="AG43" s="947">
        <f t="shared" si="6"/>
        <v>52.411549181732155</v>
      </c>
      <c r="AH43" s="903"/>
      <c r="AI43" s="903"/>
      <c r="AJ43" s="903"/>
      <c r="AK43" s="903"/>
      <c r="AL43" s="903"/>
      <c r="AM43" s="903"/>
      <c r="AN43" s="903"/>
      <c r="AO43" s="903"/>
      <c r="AP43" s="903"/>
      <c r="AQ43" s="903"/>
    </row>
    <row r="44" spans="1:43" s="388" customFormat="1" ht="69.75" customHeight="1">
      <c r="A44" s="1022">
        <v>1</v>
      </c>
      <c r="B44" s="1023" t="s">
        <v>960</v>
      </c>
      <c r="C44" s="1024" t="s">
        <v>934</v>
      </c>
      <c r="D44" s="1025" t="s">
        <v>961</v>
      </c>
      <c r="E44" s="1026" t="s">
        <v>908</v>
      </c>
      <c r="F44" s="1064"/>
      <c r="G44" s="1028">
        <v>14831.19</v>
      </c>
      <c r="H44" s="1028">
        <f>14400</f>
        <v>14400</v>
      </c>
      <c r="I44" s="1065">
        <f>G44-H44</f>
        <v>431.19000000000051</v>
      </c>
      <c r="J44" s="1028">
        <f>14400</f>
        <v>14400</v>
      </c>
      <c r="K44" s="1028">
        <v>4200</v>
      </c>
      <c r="L44" s="1029">
        <f>M44+N44</f>
        <v>4120</v>
      </c>
      <c r="M44" s="1028">
        <v>4000</v>
      </c>
      <c r="N44" s="1028">
        <f>M44*3%</f>
        <v>120</v>
      </c>
      <c r="O44" s="1066"/>
      <c r="P44" s="986"/>
      <c r="Q44" s="1032">
        <v>17</v>
      </c>
      <c r="R44" s="1033"/>
      <c r="S44" s="1034"/>
      <c r="T44" s="1034"/>
      <c r="U44" s="1032"/>
      <c r="V44" s="1036"/>
      <c r="W44" s="1036"/>
      <c r="X44" s="1037">
        <f t="shared" si="2"/>
        <v>123.6</v>
      </c>
      <c r="Y44" s="1035">
        <v>17</v>
      </c>
      <c r="Z44" s="1035"/>
      <c r="AA44" s="1035"/>
      <c r="AB44" s="1035"/>
      <c r="AC44" s="1035"/>
      <c r="AD44" s="1035"/>
      <c r="AE44" s="1035"/>
      <c r="AF44" s="1038">
        <f t="shared" si="7"/>
        <v>8320</v>
      </c>
      <c r="AG44" s="1039">
        <f t="shared" si="6"/>
        <v>56.097993485350806</v>
      </c>
      <c r="AH44" s="1035"/>
      <c r="AI44" s="1035"/>
      <c r="AJ44" s="1035"/>
      <c r="AK44" s="1035"/>
      <c r="AL44" s="1035"/>
      <c r="AM44" s="1035"/>
      <c r="AN44" s="1035"/>
      <c r="AO44" s="1035"/>
      <c r="AP44" s="1035"/>
      <c r="AQ44" s="1035"/>
    </row>
    <row r="45" spans="1:43" s="388" customFormat="1" ht="70.5" customHeight="1">
      <c r="A45" s="1022">
        <v>2</v>
      </c>
      <c r="B45" s="1023" t="s">
        <v>962</v>
      </c>
      <c r="C45" s="1024" t="s">
        <v>937</v>
      </c>
      <c r="D45" s="1025" t="s">
        <v>963</v>
      </c>
      <c r="E45" s="1026" t="s">
        <v>908</v>
      </c>
      <c r="F45" s="1064"/>
      <c r="G45" s="1028">
        <f>SUM(H45:I45)</f>
        <v>8034</v>
      </c>
      <c r="H45" s="1028">
        <v>7800</v>
      </c>
      <c r="I45" s="1028">
        <v>234</v>
      </c>
      <c r="J45" s="1028">
        <v>7800</v>
      </c>
      <c r="K45" s="1028">
        <v>3200</v>
      </c>
      <c r="L45" s="1029">
        <f>M45+N45</f>
        <v>1236</v>
      </c>
      <c r="M45" s="1028">
        <v>1200</v>
      </c>
      <c r="N45" s="1028">
        <f>M45*3%</f>
        <v>36</v>
      </c>
      <c r="O45" s="1066"/>
      <c r="P45" s="986"/>
      <c r="Q45" s="1032">
        <v>18</v>
      </c>
      <c r="R45" s="1033"/>
      <c r="S45" s="1034"/>
      <c r="T45" s="1034"/>
      <c r="U45" s="1032"/>
      <c r="V45" s="1036"/>
      <c r="W45" s="1036"/>
      <c r="X45" s="1037">
        <f t="shared" si="2"/>
        <v>37.08</v>
      </c>
      <c r="Y45" s="1035">
        <v>18</v>
      </c>
      <c r="Z45" s="1035"/>
      <c r="AA45" s="1035"/>
      <c r="AB45" s="1035"/>
      <c r="AC45" s="1035"/>
      <c r="AD45" s="1035"/>
      <c r="AE45" s="1035"/>
      <c r="AF45" s="1038">
        <f t="shared" si="7"/>
        <v>4436</v>
      </c>
      <c r="AG45" s="1039">
        <f t="shared" si="6"/>
        <v>55.215334826985305</v>
      </c>
      <c r="AH45" s="1035"/>
      <c r="AI45" s="1035"/>
      <c r="AJ45" s="1035"/>
      <c r="AK45" s="1035"/>
      <c r="AL45" s="1035"/>
      <c r="AM45" s="1035"/>
      <c r="AN45" s="1035"/>
      <c r="AO45" s="1035"/>
      <c r="AP45" s="1035"/>
      <c r="AQ45" s="1035"/>
    </row>
    <row r="46" spans="1:43" s="388" customFormat="1" ht="75.75" customHeight="1">
      <c r="A46" s="1022">
        <v>3</v>
      </c>
      <c r="B46" s="1069" t="s">
        <v>964</v>
      </c>
      <c r="C46" s="1024" t="s">
        <v>965</v>
      </c>
      <c r="D46" s="1044" t="s">
        <v>966</v>
      </c>
      <c r="E46" s="1026" t="s">
        <v>908</v>
      </c>
      <c r="F46" s="1045"/>
      <c r="G46" s="1028">
        <f>SUM(H46:I46)</f>
        <v>9661</v>
      </c>
      <c r="H46" s="1028">
        <v>9380</v>
      </c>
      <c r="I46" s="1028">
        <v>281</v>
      </c>
      <c r="J46" s="1028">
        <v>9380</v>
      </c>
      <c r="K46" s="1028">
        <v>3200</v>
      </c>
      <c r="L46" s="1029">
        <f>M46+N46</f>
        <v>1545</v>
      </c>
      <c r="M46" s="1028">
        <v>1500</v>
      </c>
      <c r="N46" s="1028">
        <f>M46*3%</f>
        <v>45</v>
      </c>
      <c r="O46" s="1066"/>
      <c r="P46" s="986"/>
      <c r="Q46" s="1032">
        <v>19</v>
      </c>
      <c r="R46" s="1033"/>
      <c r="S46" s="1034"/>
      <c r="T46" s="1034"/>
      <c r="U46" s="1032"/>
      <c r="V46" s="1036"/>
      <c r="W46" s="1036"/>
      <c r="X46" s="1037">
        <f t="shared" si="2"/>
        <v>46.35</v>
      </c>
      <c r="Y46" s="1035">
        <v>19</v>
      </c>
      <c r="Z46" s="1035"/>
      <c r="AA46" s="1035"/>
      <c r="AB46" s="1035"/>
      <c r="AC46" s="1035"/>
      <c r="AD46" s="1035"/>
      <c r="AE46" s="1035"/>
      <c r="AF46" s="1038">
        <f t="shared" si="7"/>
        <v>4745</v>
      </c>
      <c r="AG46" s="1039">
        <f t="shared" si="6"/>
        <v>49.1149984473657</v>
      </c>
      <c r="AH46" s="1035"/>
      <c r="AI46" s="1035"/>
      <c r="AJ46" s="1035"/>
      <c r="AK46" s="1035"/>
      <c r="AL46" s="1035"/>
      <c r="AM46" s="1035"/>
      <c r="AN46" s="1035"/>
      <c r="AO46" s="1035"/>
      <c r="AP46" s="1035"/>
      <c r="AQ46" s="1035"/>
    </row>
    <row r="47" spans="1:43" s="388" customFormat="1" ht="55.5" customHeight="1">
      <c r="A47" s="1022">
        <v>4</v>
      </c>
      <c r="B47" s="1043" t="s">
        <v>967</v>
      </c>
      <c r="C47" s="1024" t="s">
        <v>968</v>
      </c>
      <c r="D47" s="1041" t="s">
        <v>969</v>
      </c>
      <c r="E47" s="1026" t="s">
        <v>908</v>
      </c>
      <c r="F47" s="1068"/>
      <c r="G47" s="1028">
        <v>8240</v>
      </c>
      <c r="H47" s="1028">
        <v>8000</v>
      </c>
      <c r="I47" s="1065">
        <f>G47-H47</f>
        <v>240</v>
      </c>
      <c r="J47" s="1028">
        <v>8000</v>
      </c>
      <c r="K47" s="1028">
        <v>3200</v>
      </c>
      <c r="L47" s="1029">
        <f>M47+N47</f>
        <v>824</v>
      </c>
      <c r="M47" s="1028">
        <v>800</v>
      </c>
      <c r="N47" s="1028">
        <f>M47*3%</f>
        <v>24</v>
      </c>
      <c r="O47" s="1066"/>
      <c r="P47" s="986"/>
      <c r="Q47" s="1032">
        <v>20</v>
      </c>
      <c r="R47" s="1033"/>
      <c r="S47" s="1034"/>
      <c r="T47" s="1034"/>
      <c r="U47" s="1032"/>
      <c r="V47" s="1036"/>
      <c r="W47" s="1036"/>
      <c r="X47" s="1037">
        <f t="shared" si="2"/>
        <v>24.72</v>
      </c>
      <c r="Y47" s="1035">
        <v>20</v>
      </c>
      <c r="Z47" s="1035"/>
      <c r="AA47" s="1035"/>
      <c r="AB47" s="1035"/>
      <c r="AC47" s="1035"/>
      <c r="AD47" s="1035"/>
      <c r="AE47" s="1035"/>
      <c r="AF47" s="1038">
        <f t="shared" si="7"/>
        <v>4024</v>
      </c>
      <c r="AG47" s="1039">
        <f t="shared" si="6"/>
        <v>48.834951456310684</v>
      </c>
      <c r="AH47" s="1035"/>
      <c r="AI47" s="1035"/>
      <c r="AJ47" s="1035"/>
      <c r="AK47" s="1035"/>
      <c r="AL47" s="1035"/>
      <c r="AM47" s="1035"/>
      <c r="AN47" s="1035"/>
      <c r="AO47" s="1035"/>
      <c r="AP47" s="1035"/>
      <c r="AQ47" s="1035"/>
    </row>
    <row r="48" spans="1:43" s="388" customFormat="1" ht="55.5" customHeight="1">
      <c r="A48" s="1022">
        <v>5</v>
      </c>
      <c r="B48" s="1023" t="s">
        <v>970</v>
      </c>
      <c r="C48" s="1024" t="s">
        <v>953</v>
      </c>
      <c r="D48" s="1071" t="s">
        <v>971</v>
      </c>
      <c r="E48" s="1026" t="s">
        <v>908</v>
      </c>
      <c r="F48" s="1068"/>
      <c r="G48" s="1028">
        <v>7622</v>
      </c>
      <c r="H48" s="1028">
        <v>7400</v>
      </c>
      <c r="I48" s="1065">
        <f>G48-H48</f>
        <v>222</v>
      </c>
      <c r="J48" s="1028">
        <v>7400</v>
      </c>
      <c r="K48" s="1028">
        <v>2600</v>
      </c>
      <c r="L48" s="1029">
        <f>M48+N48</f>
        <v>1236</v>
      </c>
      <c r="M48" s="1028">
        <v>1200</v>
      </c>
      <c r="N48" s="1028">
        <f>M48*3%</f>
        <v>36</v>
      </c>
      <c r="O48" s="1066"/>
      <c r="P48" s="986"/>
      <c r="Q48" s="1032">
        <v>21</v>
      </c>
      <c r="R48" s="1033"/>
      <c r="S48" s="1034"/>
      <c r="T48" s="1034"/>
      <c r="U48" s="1032"/>
      <c r="V48" s="1036"/>
      <c r="W48" s="1036"/>
      <c r="X48" s="1037">
        <f t="shared" si="2"/>
        <v>37.08</v>
      </c>
      <c r="Y48" s="1035">
        <v>21</v>
      </c>
      <c r="Z48" s="1035"/>
      <c r="AA48" s="1035"/>
      <c r="AB48" s="1035"/>
      <c r="AC48" s="1035"/>
      <c r="AD48" s="1035"/>
      <c r="AE48" s="1035"/>
      <c r="AF48" s="1038">
        <f t="shared" si="7"/>
        <v>3836</v>
      </c>
      <c r="AG48" s="1039">
        <f t="shared" si="6"/>
        <v>50.327997900813436</v>
      </c>
      <c r="AH48" s="1035"/>
      <c r="AI48" s="1035"/>
      <c r="AJ48" s="1035"/>
      <c r="AK48" s="1035"/>
      <c r="AL48" s="1035"/>
      <c r="AM48" s="1035"/>
      <c r="AN48" s="1035"/>
      <c r="AO48" s="1035"/>
      <c r="AP48" s="1035"/>
      <c r="AQ48" s="1035"/>
    </row>
    <row r="49" spans="1:43" ht="37.5" customHeight="1">
      <c r="A49" s="979" t="s">
        <v>972</v>
      </c>
      <c r="B49" s="980" t="s">
        <v>973</v>
      </c>
      <c r="C49" s="981"/>
      <c r="D49" s="926"/>
      <c r="E49" s="982"/>
      <c r="F49" s="973"/>
      <c r="G49" s="974">
        <f t="shared" ref="G49:N49" si="22">G50</f>
        <v>18025</v>
      </c>
      <c r="H49" s="974">
        <f t="shared" si="22"/>
        <v>17500</v>
      </c>
      <c r="I49" s="974">
        <f t="shared" si="22"/>
        <v>525</v>
      </c>
      <c r="J49" s="974">
        <f t="shared" si="22"/>
        <v>17500</v>
      </c>
      <c r="K49" s="974">
        <f t="shared" si="22"/>
        <v>5378</v>
      </c>
      <c r="L49" s="975">
        <f t="shared" si="22"/>
        <v>3914</v>
      </c>
      <c r="M49" s="974">
        <f t="shared" si="22"/>
        <v>3800</v>
      </c>
      <c r="N49" s="974">
        <f t="shared" si="22"/>
        <v>114</v>
      </c>
      <c r="O49" s="906"/>
      <c r="P49" s="927"/>
      <c r="Q49" s="912"/>
      <c r="S49" s="911"/>
      <c r="T49" s="911"/>
      <c r="U49" s="912"/>
      <c r="V49" s="945"/>
      <c r="W49" s="945"/>
      <c r="X49" s="914">
        <f t="shared" si="2"/>
        <v>117.42</v>
      </c>
      <c r="AF49" s="946">
        <f t="shared" si="7"/>
        <v>9292</v>
      </c>
      <c r="AG49" s="947">
        <f t="shared" si="6"/>
        <v>51.550624133148403</v>
      </c>
    </row>
    <row r="50" spans="1:43" s="904" customFormat="1" ht="37.5" customHeight="1">
      <c r="A50" s="928"/>
      <c r="B50" s="929" t="s">
        <v>974</v>
      </c>
      <c r="C50" s="983"/>
      <c r="D50" s="929"/>
      <c r="E50" s="984"/>
      <c r="F50" s="931"/>
      <c r="G50" s="932">
        <f t="shared" ref="G50:N50" si="23">SUM(G51:G53)</f>
        <v>18025</v>
      </c>
      <c r="H50" s="932">
        <f t="shared" si="23"/>
        <v>17500</v>
      </c>
      <c r="I50" s="932">
        <f t="shared" si="23"/>
        <v>525</v>
      </c>
      <c r="J50" s="932">
        <f t="shared" si="23"/>
        <v>17500</v>
      </c>
      <c r="K50" s="932">
        <f t="shared" si="23"/>
        <v>5378</v>
      </c>
      <c r="L50" s="933">
        <f t="shared" si="23"/>
        <v>3914</v>
      </c>
      <c r="M50" s="932">
        <f t="shared" si="23"/>
        <v>3800</v>
      </c>
      <c r="N50" s="932">
        <f t="shared" si="23"/>
        <v>114</v>
      </c>
      <c r="O50" s="934"/>
      <c r="P50" s="935"/>
      <c r="Q50" s="936"/>
      <c r="R50" s="887"/>
      <c r="S50" s="937"/>
      <c r="T50" s="937"/>
      <c r="U50" s="936"/>
      <c r="V50" s="938" t="s">
        <v>903</v>
      </c>
      <c r="W50" s="938" t="s">
        <v>975</v>
      </c>
      <c r="X50" s="939">
        <f t="shared" si="2"/>
        <v>117.42</v>
      </c>
      <c r="Y50" s="903"/>
      <c r="Z50" s="903"/>
      <c r="AA50" s="903"/>
      <c r="AB50" s="903"/>
      <c r="AC50" s="903"/>
      <c r="AD50" s="903"/>
      <c r="AE50" s="903"/>
      <c r="AF50" s="946">
        <f t="shared" si="7"/>
        <v>9292</v>
      </c>
      <c r="AG50" s="947">
        <f t="shared" si="6"/>
        <v>51.550624133148403</v>
      </c>
      <c r="AH50" s="903"/>
      <c r="AI50" s="903"/>
      <c r="AJ50" s="903"/>
      <c r="AK50" s="903"/>
      <c r="AL50" s="903"/>
      <c r="AM50" s="903"/>
      <c r="AN50" s="903"/>
      <c r="AO50" s="903"/>
      <c r="AP50" s="903"/>
      <c r="AQ50" s="903"/>
    </row>
    <row r="51" spans="1:43" s="388" customFormat="1" ht="37.5" customHeight="1">
      <c r="A51" s="1063">
        <v>1</v>
      </c>
      <c r="B51" s="1041" t="s">
        <v>976</v>
      </c>
      <c r="C51" s="1024" t="s">
        <v>934</v>
      </c>
      <c r="D51" s="1041" t="s">
        <v>977</v>
      </c>
      <c r="E51" s="1026" t="s">
        <v>908</v>
      </c>
      <c r="F51" s="1064"/>
      <c r="G51" s="1028">
        <v>4120</v>
      </c>
      <c r="H51" s="1028">
        <v>4000</v>
      </c>
      <c r="I51" s="1065">
        <f>G51-H51</f>
        <v>120</v>
      </c>
      <c r="J51" s="1028">
        <v>4000</v>
      </c>
      <c r="K51" s="1028">
        <v>1500</v>
      </c>
      <c r="L51" s="1029">
        <f>M51+N51</f>
        <v>721</v>
      </c>
      <c r="M51" s="1028">
        <v>700</v>
      </c>
      <c r="N51" s="1028">
        <f>M51*3%</f>
        <v>21</v>
      </c>
      <c r="O51" s="1066"/>
      <c r="P51" s="986"/>
      <c r="Q51" s="1032">
        <v>22</v>
      </c>
      <c r="R51" s="1033"/>
      <c r="S51" s="1034"/>
      <c r="T51" s="1034"/>
      <c r="U51" s="1032"/>
      <c r="V51" s="1036"/>
      <c r="W51" s="1036"/>
      <c r="X51" s="1037">
        <f t="shared" si="2"/>
        <v>21.63</v>
      </c>
      <c r="Y51" s="1035">
        <v>22</v>
      </c>
      <c r="Z51" s="1035"/>
      <c r="AA51" s="1035"/>
      <c r="AB51" s="1035"/>
      <c r="AC51" s="1035"/>
      <c r="AD51" s="1035"/>
      <c r="AE51" s="1035"/>
      <c r="AF51" s="1038">
        <f t="shared" si="7"/>
        <v>2221</v>
      </c>
      <c r="AG51" s="1039">
        <f t="shared" si="6"/>
        <v>53.907766990291265</v>
      </c>
      <c r="AH51" s="1035"/>
      <c r="AI51" s="1035"/>
      <c r="AJ51" s="1035"/>
      <c r="AK51" s="1035"/>
      <c r="AL51" s="1035"/>
      <c r="AM51" s="1035"/>
      <c r="AN51" s="1035"/>
      <c r="AO51" s="1035"/>
      <c r="AP51" s="1035"/>
      <c r="AQ51" s="1035"/>
    </row>
    <row r="52" spans="1:43" s="388" customFormat="1" ht="106.5" customHeight="1">
      <c r="A52" s="1022">
        <v>2</v>
      </c>
      <c r="B52" s="1041" t="s">
        <v>978</v>
      </c>
      <c r="C52" s="1024" t="s">
        <v>979</v>
      </c>
      <c r="D52" s="1041" t="s">
        <v>980</v>
      </c>
      <c r="E52" s="1026" t="s">
        <v>908</v>
      </c>
      <c r="F52" s="1027"/>
      <c r="G52" s="1028">
        <f>SUM(H52:I52)</f>
        <v>10815</v>
      </c>
      <c r="H52" s="1028">
        <v>10500</v>
      </c>
      <c r="I52" s="1028">
        <v>315</v>
      </c>
      <c r="J52" s="1028">
        <v>10500</v>
      </c>
      <c r="K52" s="1028">
        <v>3158</v>
      </c>
      <c r="L52" s="1029">
        <f>M52+N52</f>
        <v>2266</v>
      </c>
      <c r="M52" s="1028">
        <v>2200</v>
      </c>
      <c r="N52" s="1028">
        <f>M52*3%</f>
        <v>66</v>
      </c>
      <c r="O52" s="1066"/>
      <c r="P52" s="986"/>
      <c r="Q52" s="1032">
        <v>23</v>
      </c>
      <c r="R52" s="1033"/>
      <c r="S52" s="1034"/>
      <c r="T52" s="1034"/>
      <c r="U52" s="1032"/>
      <c r="V52" s="1036"/>
      <c r="W52" s="1036"/>
      <c r="X52" s="1037">
        <f t="shared" si="2"/>
        <v>67.98</v>
      </c>
      <c r="Y52" s="1035">
        <v>23</v>
      </c>
      <c r="Z52" s="1035"/>
      <c r="AA52" s="1035"/>
      <c r="AB52" s="1035"/>
      <c r="AC52" s="1035"/>
      <c r="AD52" s="1035"/>
      <c r="AE52" s="1035"/>
      <c r="AF52" s="1038">
        <f t="shared" si="7"/>
        <v>5424</v>
      </c>
      <c r="AG52" s="1039">
        <f t="shared" si="6"/>
        <v>50.15256588072122</v>
      </c>
      <c r="AH52" s="1035"/>
      <c r="AI52" s="1035"/>
      <c r="AJ52" s="1035"/>
      <c r="AK52" s="1035"/>
      <c r="AL52" s="1035"/>
      <c r="AM52" s="1035"/>
      <c r="AN52" s="1035"/>
      <c r="AO52" s="1035"/>
      <c r="AP52" s="1035"/>
      <c r="AQ52" s="1035"/>
    </row>
    <row r="53" spans="1:43" s="388" customFormat="1" ht="54" customHeight="1">
      <c r="A53" s="1063">
        <v>3</v>
      </c>
      <c r="B53" s="1043" t="s">
        <v>981</v>
      </c>
      <c r="C53" s="1024" t="s">
        <v>982</v>
      </c>
      <c r="D53" s="1041" t="s">
        <v>983</v>
      </c>
      <c r="E53" s="1026" t="s">
        <v>908</v>
      </c>
      <c r="F53" s="1045"/>
      <c r="G53" s="1028">
        <f>SUM(H53:I53)</f>
        <v>3090</v>
      </c>
      <c r="H53" s="1028">
        <v>3000</v>
      </c>
      <c r="I53" s="1028">
        <v>90</v>
      </c>
      <c r="J53" s="1028">
        <v>3000</v>
      </c>
      <c r="K53" s="1028">
        <v>720</v>
      </c>
      <c r="L53" s="1029">
        <f>M53+N53</f>
        <v>927</v>
      </c>
      <c r="M53" s="1028">
        <v>900</v>
      </c>
      <c r="N53" s="1028">
        <f>M53*3%</f>
        <v>27</v>
      </c>
      <c r="O53" s="1066"/>
      <c r="P53" s="986"/>
      <c r="Q53" s="1032">
        <v>24</v>
      </c>
      <c r="R53" s="1033"/>
      <c r="S53" s="1034"/>
      <c r="T53" s="1034"/>
      <c r="U53" s="1032"/>
      <c r="V53" s="1036"/>
      <c r="W53" s="1036"/>
      <c r="X53" s="1037">
        <f t="shared" si="2"/>
        <v>27.81</v>
      </c>
      <c r="Y53" s="1035">
        <v>24</v>
      </c>
      <c r="Z53" s="1035"/>
      <c r="AA53" s="1035"/>
      <c r="AB53" s="1035"/>
      <c r="AC53" s="1035"/>
      <c r="AD53" s="1035"/>
      <c r="AE53" s="1035"/>
      <c r="AF53" s="1038">
        <f t="shared" si="7"/>
        <v>1647</v>
      </c>
      <c r="AG53" s="1039">
        <f t="shared" si="6"/>
        <v>53.300970873786412</v>
      </c>
      <c r="AH53" s="1035"/>
      <c r="AI53" s="1035"/>
      <c r="AJ53" s="1035"/>
      <c r="AK53" s="1035"/>
      <c r="AL53" s="1035"/>
      <c r="AM53" s="1035"/>
      <c r="AN53" s="1035"/>
      <c r="AO53" s="1035"/>
      <c r="AP53" s="1035"/>
      <c r="AQ53" s="1035"/>
    </row>
    <row r="54" spans="1:43" ht="37.5" customHeight="1">
      <c r="A54" s="979" t="s">
        <v>984</v>
      </c>
      <c r="B54" s="926" t="s">
        <v>985</v>
      </c>
      <c r="C54" s="981"/>
      <c r="D54" s="926"/>
      <c r="E54" s="982"/>
      <c r="F54" s="931"/>
      <c r="G54" s="974">
        <f>G55</f>
        <v>1339</v>
      </c>
      <c r="H54" s="974">
        <f t="shared" ref="H54:N55" si="24">H55</f>
        <v>1300</v>
      </c>
      <c r="I54" s="974">
        <f t="shared" si="24"/>
        <v>39</v>
      </c>
      <c r="J54" s="974">
        <f t="shared" si="24"/>
        <v>1300</v>
      </c>
      <c r="K54" s="974">
        <f t="shared" si="24"/>
        <v>0</v>
      </c>
      <c r="L54" s="975">
        <f t="shared" si="24"/>
        <v>669.73</v>
      </c>
      <c r="M54" s="974">
        <f t="shared" si="24"/>
        <v>650</v>
      </c>
      <c r="N54" s="974">
        <f t="shared" si="24"/>
        <v>19.73</v>
      </c>
      <c r="O54" s="906"/>
      <c r="P54" s="927"/>
      <c r="Q54" s="912"/>
      <c r="S54" s="911"/>
      <c r="T54" s="911"/>
      <c r="U54" s="912"/>
      <c r="V54" s="945"/>
      <c r="W54" s="945"/>
      <c r="X54" s="914">
        <f t="shared" si="2"/>
        <v>20.091899999999999</v>
      </c>
      <c r="AF54" s="946">
        <f t="shared" si="7"/>
        <v>669.73</v>
      </c>
      <c r="AG54" s="947">
        <f t="shared" si="6"/>
        <v>50.017176997759528</v>
      </c>
    </row>
    <row r="55" spans="1:43" s="904" customFormat="1" ht="37.5" customHeight="1">
      <c r="A55" s="928"/>
      <c r="B55" s="929" t="s">
        <v>902</v>
      </c>
      <c r="C55" s="930"/>
      <c r="D55" s="929"/>
      <c r="E55" s="930"/>
      <c r="F55" s="931"/>
      <c r="G55" s="932">
        <f>G56</f>
        <v>1339</v>
      </c>
      <c r="H55" s="932">
        <f t="shared" si="24"/>
        <v>1300</v>
      </c>
      <c r="I55" s="985">
        <f t="shared" si="24"/>
        <v>39</v>
      </c>
      <c r="J55" s="932">
        <f t="shared" si="24"/>
        <v>1300</v>
      </c>
      <c r="K55" s="932">
        <f t="shared" si="24"/>
        <v>0</v>
      </c>
      <c r="L55" s="933">
        <f t="shared" si="24"/>
        <v>669.73</v>
      </c>
      <c r="M55" s="932">
        <f t="shared" si="24"/>
        <v>650</v>
      </c>
      <c r="N55" s="932">
        <f t="shared" si="24"/>
        <v>19.73</v>
      </c>
      <c r="O55" s="934"/>
      <c r="P55" s="935"/>
      <c r="Q55" s="936"/>
      <c r="R55" s="887"/>
      <c r="S55" s="937"/>
      <c r="T55" s="937"/>
      <c r="U55" s="936"/>
      <c r="V55" s="938" t="s">
        <v>903</v>
      </c>
      <c r="W55" s="938" t="s">
        <v>986</v>
      </c>
      <c r="X55" s="939">
        <f t="shared" si="2"/>
        <v>20.091899999999999</v>
      </c>
      <c r="Y55" s="903"/>
      <c r="Z55" s="903"/>
      <c r="AA55" s="903"/>
      <c r="AB55" s="903"/>
      <c r="AC55" s="903"/>
      <c r="AD55" s="903"/>
      <c r="AE55" s="903"/>
      <c r="AF55" s="946">
        <f t="shared" si="7"/>
        <v>669.73</v>
      </c>
      <c r="AG55" s="947">
        <f t="shared" si="6"/>
        <v>50.017176997759528</v>
      </c>
      <c r="AH55" s="903"/>
      <c r="AI55" s="903"/>
      <c r="AJ55" s="903"/>
      <c r="AK55" s="903"/>
      <c r="AL55" s="903"/>
      <c r="AM55" s="903"/>
      <c r="AN55" s="903"/>
      <c r="AO55" s="903"/>
      <c r="AP55" s="903"/>
      <c r="AQ55" s="903"/>
    </row>
    <row r="56" spans="1:43" s="388" customFormat="1" ht="55.5" customHeight="1">
      <c r="A56" s="1022">
        <v>1</v>
      </c>
      <c r="B56" s="1043" t="s">
        <v>987</v>
      </c>
      <c r="C56" s="1024" t="s">
        <v>968</v>
      </c>
      <c r="D56" s="1041" t="s">
        <v>988</v>
      </c>
      <c r="E56" s="1026" t="s">
        <v>989</v>
      </c>
      <c r="F56" s="1068"/>
      <c r="G56" s="1028">
        <v>1339</v>
      </c>
      <c r="H56" s="1028">
        <v>1300</v>
      </c>
      <c r="I56" s="1065">
        <f>G56-H56</f>
        <v>39</v>
      </c>
      <c r="J56" s="1028">
        <v>1300</v>
      </c>
      <c r="K56" s="1028"/>
      <c r="L56" s="1029">
        <f>M56+N56</f>
        <v>669.73</v>
      </c>
      <c r="M56" s="1028">
        <v>650</v>
      </c>
      <c r="N56" s="1028">
        <v>19.73</v>
      </c>
      <c r="O56" s="1066"/>
      <c r="P56" s="986"/>
      <c r="Q56" s="1032">
        <v>25</v>
      </c>
      <c r="R56" s="1033"/>
      <c r="S56" s="1034"/>
      <c r="T56" s="1034"/>
      <c r="U56" s="1032"/>
      <c r="V56" s="1036"/>
      <c r="W56" s="1036"/>
      <c r="X56" s="1037">
        <f t="shared" si="2"/>
        <v>20.091899999999999</v>
      </c>
      <c r="Y56" s="1038">
        <v>25</v>
      </c>
      <c r="Z56" s="1035"/>
      <c r="AA56" s="1035"/>
      <c r="AB56" s="1035"/>
      <c r="AC56" s="1035"/>
      <c r="AD56" s="1035"/>
      <c r="AE56" s="1035"/>
      <c r="AF56" s="1038">
        <f t="shared" si="7"/>
        <v>669.73</v>
      </c>
      <c r="AG56" s="1039">
        <f t="shared" si="6"/>
        <v>50.017176997759528</v>
      </c>
      <c r="AH56" s="1035"/>
      <c r="AI56" s="1035"/>
      <c r="AJ56" s="1035"/>
      <c r="AK56" s="1035"/>
      <c r="AL56" s="1035"/>
      <c r="AM56" s="1035"/>
      <c r="AN56" s="1035"/>
      <c r="AO56" s="1035"/>
      <c r="AP56" s="1035"/>
      <c r="AQ56" s="1035"/>
    </row>
    <row r="57" spans="1:43" s="104" customFormat="1" ht="37.5" customHeight="1">
      <c r="A57" s="915" t="s">
        <v>67</v>
      </c>
      <c r="B57" s="916" t="s">
        <v>45</v>
      </c>
      <c r="C57" s="949"/>
      <c r="D57" s="916"/>
      <c r="E57" s="915"/>
      <c r="F57" s="917"/>
      <c r="G57" s="908">
        <f t="shared" ref="G57:N57" si="25">G58+G64+G68+G73</f>
        <v>70291.19</v>
      </c>
      <c r="H57" s="908">
        <f t="shared" si="25"/>
        <v>67273</v>
      </c>
      <c r="I57" s="908">
        <f t="shared" si="25"/>
        <v>3018.19</v>
      </c>
      <c r="J57" s="908">
        <f t="shared" si="25"/>
        <v>67273</v>
      </c>
      <c r="K57" s="908">
        <f t="shared" si="25"/>
        <v>42986</v>
      </c>
      <c r="L57" s="908">
        <f t="shared" si="25"/>
        <v>19116</v>
      </c>
      <c r="M57" s="908">
        <f t="shared" si="25"/>
        <v>18559</v>
      </c>
      <c r="N57" s="908">
        <f t="shared" si="25"/>
        <v>557</v>
      </c>
      <c r="O57" s="917"/>
      <c r="P57" s="918"/>
      <c r="Q57" s="919"/>
      <c r="R57" s="920"/>
      <c r="S57" s="921"/>
      <c r="T57" s="921"/>
      <c r="U57" s="919"/>
      <c r="V57" s="950"/>
      <c r="W57" s="950"/>
      <c r="X57" s="923">
        <f t="shared" si="2"/>
        <v>573.48</v>
      </c>
      <c r="Y57" s="922"/>
      <c r="Z57" s="922"/>
      <c r="AA57" s="922"/>
      <c r="AB57" s="922"/>
      <c r="AC57" s="922"/>
      <c r="AD57" s="922"/>
      <c r="AE57" s="922"/>
      <c r="AF57" s="951">
        <f t="shared" si="7"/>
        <v>62102</v>
      </c>
      <c r="AG57" s="952">
        <f t="shared" si="6"/>
        <v>88.349621054928789</v>
      </c>
      <c r="AH57" s="922"/>
      <c r="AI57" s="922"/>
      <c r="AJ57" s="922"/>
      <c r="AK57" s="922"/>
      <c r="AL57" s="922"/>
      <c r="AM57" s="922"/>
      <c r="AN57" s="922"/>
      <c r="AO57" s="922"/>
      <c r="AP57" s="922"/>
      <c r="AQ57" s="922"/>
    </row>
    <row r="58" spans="1:43" ht="33" customHeight="1">
      <c r="A58" s="953" t="s">
        <v>913</v>
      </c>
      <c r="B58" s="954" t="s">
        <v>29</v>
      </c>
      <c r="C58" s="925"/>
      <c r="D58" s="987"/>
      <c r="E58" s="905"/>
      <c r="F58" s="906"/>
      <c r="G58" s="907">
        <f t="shared" ref="G58:N58" si="26">G59</f>
        <v>27295</v>
      </c>
      <c r="H58" s="907">
        <f t="shared" si="26"/>
        <v>26500</v>
      </c>
      <c r="I58" s="907">
        <f t="shared" si="26"/>
        <v>795</v>
      </c>
      <c r="J58" s="907">
        <f t="shared" si="26"/>
        <v>26500</v>
      </c>
      <c r="K58" s="907">
        <f t="shared" si="26"/>
        <v>18000</v>
      </c>
      <c r="L58" s="908">
        <f t="shared" si="26"/>
        <v>6849.5</v>
      </c>
      <c r="M58" s="907">
        <f t="shared" si="26"/>
        <v>6650</v>
      </c>
      <c r="N58" s="907">
        <f t="shared" si="26"/>
        <v>199.5</v>
      </c>
      <c r="O58" s="906"/>
      <c r="P58" s="927"/>
      <c r="Q58" s="912"/>
      <c r="S58" s="911"/>
      <c r="T58" s="911"/>
      <c r="U58" s="912"/>
      <c r="V58" s="945"/>
      <c r="W58" s="945"/>
      <c r="X58" s="914">
        <f t="shared" si="2"/>
        <v>205.48499999999999</v>
      </c>
      <c r="AF58" s="946">
        <f t="shared" si="7"/>
        <v>24849.5</v>
      </c>
      <c r="AG58" s="947">
        <f t="shared" si="6"/>
        <v>91.040483605055869</v>
      </c>
    </row>
    <row r="59" spans="1:43" s="904" customFormat="1" ht="35.25" customHeight="1">
      <c r="A59" s="955"/>
      <c r="B59" s="929" t="s">
        <v>974</v>
      </c>
      <c r="C59" s="930"/>
      <c r="D59" s="988"/>
      <c r="E59" s="956"/>
      <c r="F59" s="934"/>
      <c r="G59" s="957">
        <f t="shared" ref="G59:L59" si="27">SUM(G60:G63)</f>
        <v>27295</v>
      </c>
      <c r="H59" s="957">
        <f t="shared" si="27"/>
        <v>26500</v>
      </c>
      <c r="I59" s="957">
        <f t="shared" si="27"/>
        <v>795</v>
      </c>
      <c r="J59" s="957">
        <f t="shared" si="27"/>
        <v>26500</v>
      </c>
      <c r="K59" s="957">
        <f t="shared" si="27"/>
        <v>18000</v>
      </c>
      <c r="L59" s="958">
        <f t="shared" si="27"/>
        <v>6849.5</v>
      </c>
      <c r="M59" s="957">
        <f>SUM(M60:M63)</f>
        <v>6650</v>
      </c>
      <c r="N59" s="957">
        <f>SUM(N60:N63)</f>
        <v>199.5</v>
      </c>
      <c r="O59" s="934"/>
      <c r="P59" s="935"/>
      <c r="Q59" s="936"/>
      <c r="R59" s="887"/>
      <c r="S59" s="937"/>
      <c r="T59" s="937"/>
      <c r="U59" s="936"/>
      <c r="V59" s="938" t="s">
        <v>903</v>
      </c>
      <c r="W59" s="938" t="s">
        <v>990</v>
      </c>
      <c r="X59" s="939">
        <f t="shared" si="2"/>
        <v>205.48499999999999</v>
      </c>
      <c r="Y59" s="903"/>
      <c r="Z59" s="903"/>
      <c r="AA59" s="903"/>
      <c r="AB59" s="903"/>
      <c r="AC59" s="903"/>
      <c r="AD59" s="903"/>
      <c r="AE59" s="903"/>
      <c r="AF59" s="946">
        <f t="shared" si="7"/>
        <v>24849.5</v>
      </c>
      <c r="AG59" s="947">
        <f t="shared" si="6"/>
        <v>91.040483605055869</v>
      </c>
      <c r="AH59" s="903"/>
      <c r="AI59" s="903"/>
      <c r="AJ59" s="903"/>
      <c r="AK59" s="903"/>
      <c r="AL59" s="903"/>
      <c r="AM59" s="903"/>
      <c r="AN59" s="903"/>
      <c r="AO59" s="903"/>
      <c r="AP59" s="903"/>
      <c r="AQ59" s="903"/>
    </row>
    <row r="60" spans="1:43" s="388" customFormat="1" ht="92.25" customHeight="1">
      <c r="A60" s="1057">
        <v>1</v>
      </c>
      <c r="B60" s="1058" t="s">
        <v>991</v>
      </c>
      <c r="C60" s="1059" t="s">
        <v>992</v>
      </c>
      <c r="D60" s="1058" t="s">
        <v>993</v>
      </c>
      <c r="E60" s="1060" t="s">
        <v>994</v>
      </c>
      <c r="F60" s="1061"/>
      <c r="G60" s="1072">
        <f>SUM(H60:I60)</f>
        <v>3090</v>
      </c>
      <c r="H60" s="1072">
        <f>2000+1000</f>
        <v>3000</v>
      </c>
      <c r="I60" s="1072">
        <f>H60*3%</f>
        <v>90</v>
      </c>
      <c r="J60" s="1072">
        <f>2000+1000</f>
        <v>3000</v>
      </c>
      <c r="K60" s="1073">
        <v>2000</v>
      </c>
      <c r="L60" s="1074">
        <f>M60+N60</f>
        <v>824</v>
      </c>
      <c r="M60" s="1073">
        <v>800</v>
      </c>
      <c r="N60" s="1073">
        <f>M60*3%</f>
        <v>24</v>
      </c>
      <c r="O60" s="1066"/>
      <c r="P60" s="986"/>
      <c r="Q60" s="1032">
        <v>26</v>
      </c>
      <c r="R60" s="1033"/>
      <c r="S60" s="1034"/>
      <c r="T60" s="1034"/>
      <c r="U60" s="1032">
        <v>4</v>
      </c>
      <c r="V60" s="1036"/>
      <c r="W60" s="1036"/>
      <c r="X60" s="1037">
        <f t="shared" si="2"/>
        <v>24.72</v>
      </c>
      <c r="Y60" s="1035">
        <v>26</v>
      </c>
      <c r="Z60" s="1035"/>
      <c r="AA60" s="1035"/>
      <c r="AB60" s="1035"/>
      <c r="AC60" s="1035"/>
      <c r="AD60" s="1035"/>
      <c r="AE60" s="1035"/>
      <c r="AF60" s="1038">
        <f t="shared" si="7"/>
        <v>2824</v>
      </c>
      <c r="AG60" s="1039">
        <f t="shared" si="6"/>
        <v>91.391585760517799</v>
      </c>
      <c r="AH60" s="1035"/>
      <c r="AI60" s="1035"/>
      <c r="AJ60" s="1035"/>
      <c r="AK60" s="1035"/>
      <c r="AL60" s="1035"/>
      <c r="AM60" s="1035"/>
      <c r="AN60" s="1035"/>
      <c r="AO60" s="1035"/>
      <c r="AP60" s="1035"/>
      <c r="AQ60" s="1035"/>
    </row>
    <row r="61" spans="1:43" s="388" customFormat="1" ht="74.25" customHeight="1">
      <c r="A61" s="1075">
        <v>2</v>
      </c>
      <c r="B61" s="1076" t="s">
        <v>995</v>
      </c>
      <c r="C61" s="1048" t="s">
        <v>996</v>
      </c>
      <c r="D61" s="1076" t="s">
        <v>997</v>
      </c>
      <c r="E61" s="1049" t="s">
        <v>994</v>
      </c>
      <c r="F61" s="1050"/>
      <c r="G61" s="1073">
        <f>SUM(H61:I61)</f>
        <v>10300</v>
      </c>
      <c r="H61" s="1073">
        <f>5000+5000</f>
        <v>10000</v>
      </c>
      <c r="I61" s="1073">
        <f>H61*3%</f>
        <v>300</v>
      </c>
      <c r="J61" s="1073">
        <f>5000+5000</f>
        <v>10000</v>
      </c>
      <c r="K61" s="1073">
        <v>7000</v>
      </c>
      <c r="L61" s="1074">
        <f>M61+N61</f>
        <v>2060</v>
      </c>
      <c r="M61" s="1073">
        <v>2000</v>
      </c>
      <c r="N61" s="1073">
        <f>M61*3%</f>
        <v>60</v>
      </c>
      <c r="O61" s="1077"/>
      <c r="P61" s="1078"/>
      <c r="Q61" s="1032">
        <v>27</v>
      </c>
      <c r="R61" s="1033"/>
      <c r="S61" s="1034"/>
      <c r="T61" s="1034"/>
      <c r="U61" s="1032">
        <v>5</v>
      </c>
      <c r="V61" s="1079"/>
      <c r="W61" s="1036"/>
      <c r="X61" s="1037">
        <f t="shared" si="2"/>
        <v>61.8</v>
      </c>
      <c r="Y61" s="1035">
        <v>27</v>
      </c>
      <c r="Z61" s="1035"/>
      <c r="AA61" s="1035"/>
      <c r="AB61" s="1035"/>
      <c r="AC61" s="1035"/>
      <c r="AD61" s="1035"/>
      <c r="AE61" s="1035"/>
      <c r="AF61" s="1038">
        <f t="shared" si="7"/>
        <v>9060</v>
      </c>
      <c r="AG61" s="1039">
        <f t="shared" si="6"/>
        <v>87.961165048543691</v>
      </c>
      <c r="AH61" s="1035"/>
      <c r="AI61" s="1035"/>
      <c r="AJ61" s="1035"/>
      <c r="AK61" s="1035"/>
      <c r="AL61" s="1035"/>
      <c r="AM61" s="1035"/>
      <c r="AN61" s="1035"/>
      <c r="AO61" s="1035"/>
      <c r="AP61" s="1035"/>
      <c r="AQ61" s="1035"/>
    </row>
    <row r="62" spans="1:43" s="388" customFormat="1" ht="178.5" customHeight="1">
      <c r="A62" s="1075">
        <v>3</v>
      </c>
      <c r="B62" s="1047" t="s">
        <v>998</v>
      </c>
      <c r="C62" s="1048" t="s">
        <v>999</v>
      </c>
      <c r="D62" s="1047" t="s">
        <v>1000</v>
      </c>
      <c r="E62" s="1048" t="s">
        <v>994</v>
      </c>
      <c r="F62" s="1050"/>
      <c r="G62" s="1072">
        <f>SUM(H62:I62)</f>
        <v>6695</v>
      </c>
      <c r="H62" s="1072">
        <f>4500+2000</f>
        <v>6500</v>
      </c>
      <c r="I62" s="1072">
        <f>H62*3%</f>
        <v>195</v>
      </c>
      <c r="J62" s="1072">
        <f>4500+2000</f>
        <v>6500</v>
      </c>
      <c r="K62" s="1065">
        <v>2000</v>
      </c>
      <c r="L62" s="1074">
        <f>M62+N62</f>
        <v>3965.5</v>
      </c>
      <c r="M62" s="1065">
        <v>3850</v>
      </c>
      <c r="N62" s="1073">
        <f>M62*3%</f>
        <v>115.5</v>
      </c>
      <c r="O62" s="1077"/>
      <c r="P62" s="1078"/>
      <c r="Q62" s="1032">
        <v>28</v>
      </c>
      <c r="R62" s="1033"/>
      <c r="S62" s="1034"/>
      <c r="T62" s="1034"/>
      <c r="U62" s="1032">
        <v>6</v>
      </c>
      <c r="V62" s="1036"/>
      <c r="W62" s="1036"/>
      <c r="X62" s="1037">
        <f t="shared" si="2"/>
        <v>118.96499999999999</v>
      </c>
      <c r="Y62" s="1035">
        <v>28</v>
      </c>
      <c r="Z62" s="1035"/>
      <c r="AA62" s="1035"/>
      <c r="AB62" s="1035"/>
      <c r="AC62" s="1035"/>
      <c r="AD62" s="1035"/>
      <c r="AE62" s="1035"/>
      <c r="AF62" s="1038">
        <f t="shared" si="7"/>
        <v>5965.5</v>
      </c>
      <c r="AG62" s="1039">
        <f t="shared" si="6"/>
        <v>89.103808812546674</v>
      </c>
      <c r="AH62" s="1080">
        <f t="shared" ref="AH62:AH76" si="28">AF62/H62*100</f>
        <v>91.776923076923083</v>
      </c>
      <c r="AI62" s="1035"/>
      <c r="AJ62" s="1035"/>
      <c r="AK62" s="1035"/>
      <c r="AL62" s="1035"/>
      <c r="AM62" s="1035"/>
      <c r="AN62" s="1035"/>
      <c r="AO62" s="1035"/>
      <c r="AP62" s="1035"/>
      <c r="AQ62" s="1035"/>
    </row>
    <row r="63" spans="1:43" s="897" customFormat="1" ht="95.25" customHeight="1">
      <c r="A63" s="959">
        <v>4</v>
      </c>
      <c r="B63" s="960" t="s">
        <v>1001</v>
      </c>
      <c r="C63" s="961" t="s">
        <v>1002</v>
      </c>
      <c r="D63" s="960" t="s">
        <v>1003</v>
      </c>
      <c r="E63" s="961" t="s">
        <v>994</v>
      </c>
      <c r="F63" s="962"/>
      <c r="G63" s="989">
        <f>SUM(H63:I63)</f>
        <v>7210</v>
      </c>
      <c r="H63" s="989">
        <f>2500+4500</f>
        <v>7000</v>
      </c>
      <c r="I63" s="989">
        <f>H63*3%</f>
        <v>210</v>
      </c>
      <c r="J63" s="989">
        <f>2500+4500</f>
        <v>7000</v>
      </c>
      <c r="K63" s="976">
        <v>7000</v>
      </c>
      <c r="L63" s="992"/>
      <c r="M63" s="976"/>
      <c r="N63" s="989"/>
      <c r="O63" s="993"/>
      <c r="P63" s="994"/>
      <c r="Q63" s="912">
        <v>29</v>
      </c>
      <c r="R63" s="887"/>
      <c r="S63" s="911"/>
      <c r="T63" s="911"/>
      <c r="U63" s="912">
        <v>7</v>
      </c>
      <c r="V63" s="945"/>
      <c r="W63" s="945"/>
      <c r="X63" s="914">
        <f t="shared" si="2"/>
        <v>0</v>
      </c>
      <c r="Y63" s="896">
        <v>29</v>
      </c>
      <c r="Z63" s="896"/>
      <c r="AA63" s="896"/>
      <c r="AB63" s="896"/>
      <c r="AC63" s="896"/>
      <c r="AD63" s="896"/>
      <c r="AE63" s="896"/>
      <c r="AF63" s="946">
        <f t="shared" si="7"/>
        <v>7000</v>
      </c>
      <c r="AG63" s="947">
        <f t="shared" si="6"/>
        <v>97.087378640776706</v>
      </c>
      <c r="AH63" s="913">
        <f t="shared" si="28"/>
        <v>100</v>
      </c>
      <c r="AI63" s="896"/>
      <c r="AJ63" s="896"/>
      <c r="AK63" s="896"/>
      <c r="AL63" s="896"/>
      <c r="AM63" s="896"/>
      <c r="AN63" s="896"/>
      <c r="AO63" s="896"/>
      <c r="AP63" s="896"/>
      <c r="AQ63" s="896"/>
    </row>
    <row r="64" spans="1:43" s="897" customFormat="1" ht="45" customHeight="1">
      <c r="A64" s="953" t="s">
        <v>1004</v>
      </c>
      <c r="B64" s="954" t="s">
        <v>75</v>
      </c>
      <c r="C64" s="953"/>
      <c r="D64" s="954"/>
      <c r="E64" s="953"/>
      <c r="F64" s="953"/>
      <c r="G64" s="995">
        <f t="shared" ref="G64:N64" si="29">G65</f>
        <v>14701.19</v>
      </c>
      <c r="H64" s="995">
        <f t="shared" si="29"/>
        <v>14273</v>
      </c>
      <c r="I64" s="995">
        <f t="shared" si="29"/>
        <v>428.19</v>
      </c>
      <c r="J64" s="995">
        <f t="shared" si="29"/>
        <v>14273</v>
      </c>
      <c r="K64" s="995">
        <f t="shared" si="29"/>
        <v>9050</v>
      </c>
      <c r="L64" s="996">
        <f t="shared" si="29"/>
        <v>3872</v>
      </c>
      <c r="M64" s="995">
        <f t="shared" si="29"/>
        <v>3759</v>
      </c>
      <c r="N64" s="995">
        <f t="shared" si="29"/>
        <v>113</v>
      </c>
      <c r="O64" s="993"/>
      <c r="P64" s="994"/>
      <c r="Q64" s="912"/>
      <c r="R64" s="887"/>
      <c r="S64" s="911"/>
      <c r="T64" s="911"/>
      <c r="U64" s="912"/>
      <c r="V64" s="945"/>
      <c r="W64" s="945"/>
      <c r="X64" s="914">
        <f t="shared" si="2"/>
        <v>116.16</v>
      </c>
      <c r="Y64" s="896"/>
      <c r="Z64" s="896"/>
      <c r="AA64" s="896"/>
      <c r="AB64" s="896"/>
      <c r="AC64" s="896"/>
      <c r="AD64" s="896"/>
      <c r="AE64" s="896"/>
      <c r="AF64" s="946">
        <f t="shared" si="7"/>
        <v>12922</v>
      </c>
      <c r="AG64" s="947">
        <f t="shared" si="6"/>
        <v>87.897646381007249</v>
      </c>
      <c r="AH64" s="913">
        <f t="shared" si="28"/>
        <v>90.534575772437464</v>
      </c>
      <c r="AI64" s="896"/>
      <c r="AJ64" s="896"/>
      <c r="AK64" s="896"/>
      <c r="AL64" s="896"/>
      <c r="AM64" s="896"/>
      <c r="AN64" s="896"/>
      <c r="AO64" s="896"/>
      <c r="AP64" s="896"/>
      <c r="AQ64" s="896"/>
    </row>
    <row r="65" spans="1:43" ht="45" customHeight="1">
      <c r="A65" s="953"/>
      <c r="B65" s="969" t="s">
        <v>902</v>
      </c>
      <c r="C65" s="953"/>
      <c r="D65" s="954"/>
      <c r="E65" s="953"/>
      <c r="F65" s="953"/>
      <c r="G65" s="985">
        <f t="shared" ref="G65:N65" si="30">SUM(G66:G67)</f>
        <v>14701.19</v>
      </c>
      <c r="H65" s="985">
        <f t="shared" si="30"/>
        <v>14273</v>
      </c>
      <c r="I65" s="985">
        <f t="shared" si="30"/>
        <v>428.19</v>
      </c>
      <c r="J65" s="985">
        <f t="shared" si="30"/>
        <v>14273</v>
      </c>
      <c r="K65" s="985">
        <f t="shared" si="30"/>
        <v>9050</v>
      </c>
      <c r="L65" s="997">
        <f t="shared" si="30"/>
        <v>3872</v>
      </c>
      <c r="M65" s="985">
        <f t="shared" si="30"/>
        <v>3759</v>
      </c>
      <c r="N65" s="985">
        <f t="shared" si="30"/>
        <v>113</v>
      </c>
      <c r="O65" s="990"/>
      <c r="P65" s="991"/>
      <c r="S65" s="911"/>
      <c r="T65" s="911"/>
      <c r="U65" s="912"/>
      <c r="V65" s="945" t="s">
        <v>903</v>
      </c>
      <c r="W65" s="945"/>
      <c r="X65" s="914">
        <f t="shared" si="2"/>
        <v>116.16</v>
      </c>
      <c r="AF65" s="946">
        <f t="shared" si="7"/>
        <v>12922</v>
      </c>
      <c r="AG65" s="947">
        <f t="shared" si="6"/>
        <v>87.897646381007249</v>
      </c>
      <c r="AH65" s="913">
        <f t="shared" si="28"/>
        <v>90.534575772437464</v>
      </c>
    </row>
    <row r="66" spans="1:43" s="388" customFormat="1" ht="72" customHeight="1">
      <c r="A66" s="1046">
        <v>1</v>
      </c>
      <c r="B66" s="1041" t="s">
        <v>1005</v>
      </c>
      <c r="C66" s="1048" t="s">
        <v>275</v>
      </c>
      <c r="D66" s="1047" t="s">
        <v>1006</v>
      </c>
      <c r="E66" s="1048" t="s">
        <v>908</v>
      </c>
      <c r="F66" s="1050"/>
      <c r="G66" s="1073">
        <f>SUM(H66:I66)</f>
        <v>9345.19</v>
      </c>
      <c r="H66" s="1073">
        <f>3500+5573</f>
        <v>9073</v>
      </c>
      <c r="I66" s="1073">
        <f>H66*3%</f>
        <v>272.19</v>
      </c>
      <c r="J66" s="1073">
        <f>3500+5573</f>
        <v>9073</v>
      </c>
      <c r="K66" s="1065">
        <v>5000</v>
      </c>
      <c r="L66" s="1081">
        <f>M66+N66</f>
        <v>3244.5</v>
      </c>
      <c r="M66" s="1065">
        <v>3150</v>
      </c>
      <c r="N66" s="1065">
        <f>M66*3%</f>
        <v>94.5</v>
      </c>
      <c r="O66" s="1077"/>
      <c r="P66" s="1078"/>
      <c r="Q66" s="1032">
        <v>30</v>
      </c>
      <c r="R66" s="1033"/>
      <c r="S66" s="1034"/>
      <c r="T66" s="1034"/>
      <c r="U66" s="1032">
        <v>8</v>
      </c>
      <c r="V66" s="1036"/>
      <c r="W66" s="1036"/>
      <c r="X66" s="1037">
        <f t="shared" si="2"/>
        <v>97.334999999999994</v>
      </c>
      <c r="Y66" s="1082">
        <v>30</v>
      </c>
      <c r="Z66" s="1035"/>
      <c r="AA66" s="1035"/>
      <c r="AB66" s="1035"/>
      <c r="AC66" s="1035"/>
      <c r="AD66" s="1035"/>
      <c r="AE66" s="1035"/>
      <c r="AF66" s="1038">
        <f t="shared" si="7"/>
        <v>8244.5</v>
      </c>
      <c r="AG66" s="1039">
        <f t="shared" si="6"/>
        <v>88.221855307382725</v>
      </c>
      <c r="AH66" s="1080">
        <f t="shared" si="28"/>
        <v>90.868510966604205</v>
      </c>
      <c r="AI66" s="1035"/>
      <c r="AJ66" s="1035"/>
      <c r="AK66" s="1035"/>
      <c r="AL66" s="1035"/>
      <c r="AM66" s="1035"/>
      <c r="AN66" s="1035"/>
      <c r="AO66" s="1035"/>
      <c r="AP66" s="1035"/>
      <c r="AQ66" s="1035"/>
    </row>
    <row r="67" spans="1:43" s="388" customFormat="1" ht="119.25" customHeight="1">
      <c r="A67" s="1046">
        <v>2</v>
      </c>
      <c r="B67" s="1041" t="s">
        <v>1007</v>
      </c>
      <c r="C67" s="1048" t="s">
        <v>992</v>
      </c>
      <c r="D67" s="1071" t="s">
        <v>1008</v>
      </c>
      <c r="E67" s="1048" t="s">
        <v>994</v>
      </c>
      <c r="F67" s="1050"/>
      <c r="G67" s="1073">
        <f>SUM(H67:I67)</f>
        <v>5356</v>
      </c>
      <c r="H67" s="1073">
        <f>4000+1200</f>
        <v>5200</v>
      </c>
      <c r="I67" s="1073">
        <f>H67*3%</f>
        <v>156</v>
      </c>
      <c r="J67" s="1073">
        <f>4000+1200</f>
        <v>5200</v>
      </c>
      <c r="K67" s="1065">
        <v>4050</v>
      </c>
      <c r="L67" s="1081">
        <f>M67+N67</f>
        <v>627.5</v>
      </c>
      <c r="M67" s="1065">
        <v>609</v>
      </c>
      <c r="N67" s="1065">
        <v>18.5</v>
      </c>
      <c r="O67" s="1083"/>
      <c r="P67" s="1084"/>
      <c r="Q67" s="1032">
        <v>31</v>
      </c>
      <c r="R67" s="1033"/>
      <c r="S67" s="1034"/>
      <c r="T67" s="1034"/>
      <c r="U67" s="1032">
        <v>9</v>
      </c>
      <c r="V67" s="1036"/>
      <c r="W67" s="1036"/>
      <c r="X67" s="1037">
        <f t="shared" si="2"/>
        <v>18.824999999999999</v>
      </c>
      <c r="Y67" s="1035">
        <v>31</v>
      </c>
      <c r="Z67" s="1035"/>
      <c r="AA67" s="1035"/>
      <c r="AB67" s="1035"/>
      <c r="AC67" s="1035"/>
      <c r="AD67" s="1035"/>
      <c r="AE67" s="1035"/>
      <c r="AF67" s="1038">
        <f t="shared" si="7"/>
        <v>4677.5</v>
      </c>
      <c r="AG67" s="1039">
        <f t="shared" si="6"/>
        <v>87.331964152352498</v>
      </c>
      <c r="AH67" s="1080">
        <f t="shared" si="28"/>
        <v>89.95192307692308</v>
      </c>
      <c r="AI67" s="1035"/>
      <c r="AJ67" s="1035"/>
      <c r="AK67" s="1035"/>
      <c r="AL67" s="1035"/>
      <c r="AM67" s="1035"/>
      <c r="AN67" s="1035"/>
      <c r="AO67" s="1035"/>
      <c r="AP67" s="1035"/>
      <c r="AQ67" s="1035"/>
    </row>
    <row r="68" spans="1:43" ht="41.25" customHeight="1">
      <c r="A68" s="953" t="s">
        <v>1009</v>
      </c>
      <c r="B68" s="954" t="s">
        <v>1010</v>
      </c>
      <c r="C68" s="965"/>
      <c r="D68" s="1000"/>
      <c r="E68" s="944"/>
      <c r="F68" s="934"/>
      <c r="G68" s="966">
        <f t="shared" ref="G68:N68" si="31">G69</f>
        <v>12330</v>
      </c>
      <c r="H68" s="966">
        <f t="shared" si="31"/>
        <v>11000</v>
      </c>
      <c r="I68" s="966">
        <f t="shared" si="31"/>
        <v>1330</v>
      </c>
      <c r="J68" s="966">
        <f t="shared" si="31"/>
        <v>11000</v>
      </c>
      <c r="K68" s="966">
        <f t="shared" si="31"/>
        <v>7500</v>
      </c>
      <c r="L68" s="1001">
        <f t="shared" si="31"/>
        <v>2832.5</v>
      </c>
      <c r="M68" s="966">
        <f t="shared" si="31"/>
        <v>2750</v>
      </c>
      <c r="N68" s="966">
        <f t="shared" si="31"/>
        <v>82.5</v>
      </c>
      <c r="O68" s="998"/>
      <c r="P68" s="999"/>
      <c r="S68" s="911"/>
      <c r="T68" s="911"/>
      <c r="U68" s="912"/>
      <c r="V68" s="945"/>
      <c r="W68" s="945"/>
      <c r="X68" s="896"/>
      <c r="AF68" s="946">
        <f t="shared" si="7"/>
        <v>10332.5</v>
      </c>
      <c r="AG68" s="947">
        <f t="shared" si="6"/>
        <v>83.799675587996759</v>
      </c>
      <c r="AH68" s="913">
        <f t="shared" si="28"/>
        <v>93.931818181818187</v>
      </c>
    </row>
    <row r="69" spans="1:43" s="1006" customFormat="1" ht="41.25" customHeight="1">
      <c r="A69" s="955"/>
      <c r="B69" s="969" t="s">
        <v>902</v>
      </c>
      <c r="C69" s="930"/>
      <c r="D69" s="988"/>
      <c r="E69" s="956"/>
      <c r="F69" s="934"/>
      <c r="G69" s="970">
        <f t="shared" ref="G69:N69" si="32">SUM(G70:G72)</f>
        <v>12330</v>
      </c>
      <c r="H69" s="970">
        <f t="shared" si="32"/>
        <v>11000</v>
      </c>
      <c r="I69" s="970">
        <f t="shared" si="32"/>
        <v>1330</v>
      </c>
      <c r="J69" s="970">
        <f t="shared" si="32"/>
        <v>11000</v>
      </c>
      <c r="K69" s="970">
        <f t="shared" si="32"/>
        <v>7500</v>
      </c>
      <c r="L69" s="1002">
        <f t="shared" si="32"/>
        <v>2832.5</v>
      </c>
      <c r="M69" s="970">
        <f t="shared" si="32"/>
        <v>2750</v>
      </c>
      <c r="N69" s="970">
        <f t="shared" si="32"/>
        <v>82.5</v>
      </c>
      <c r="O69" s="1003"/>
      <c r="P69" s="1004"/>
      <c r="Q69" s="1005"/>
      <c r="R69" s="887"/>
      <c r="S69" s="911"/>
      <c r="T69" s="911"/>
      <c r="U69" s="912"/>
      <c r="V69" s="945" t="s">
        <v>903</v>
      </c>
      <c r="W69" s="945"/>
      <c r="X69" s="896"/>
      <c r="Y69" s="1005"/>
      <c r="Z69" s="1005"/>
      <c r="AA69" s="1005"/>
      <c r="AB69" s="1005"/>
      <c r="AC69" s="1005"/>
      <c r="AD69" s="1005"/>
      <c r="AE69" s="1005"/>
      <c r="AF69" s="946">
        <f t="shared" si="7"/>
        <v>10332.5</v>
      </c>
      <c r="AG69" s="947">
        <f t="shared" si="6"/>
        <v>83.799675587996759</v>
      </c>
      <c r="AH69" s="913">
        <f t="shared" si="28"/>
        <v>93.931818181818187</v>
      </c>
      <c r="AI69" s="1005"/>
      <c r="AJ69" s="1005"/>
      <c r="AK69" s="1005"/>
      <c r="AL69" s="1005"/>
      <c r="AM69" s="1005"/>
      <c r="AN69" s="1005"/>
      <c r="AO69" s="1005"/>
      <c r="AP69" s="1005"/>
      <c r="AQ69" s="1005"/>
    </row>
    <row r="70" spans="1:43" ht="81" customHeight="1">
      <c r="A70" s="959">
        <v>1</v>
      </c>
      <c r="B70" s="960" t="s">
        <v>1011</v>
      </c>
      <c r="C70" s="961" t="s">
        <v>275</v>
      </c>
      <c r="D70" s="960" t="s">
        <v>1012</v>
      </c>
      <c r="E70" s="961" t="s">
        <v>994</v>
      </c>
      <c r="F70" s="962"/>
      <c r="G70" s="989">
        <f>SUM(H70:I70)</f>
        <v>3605</v>
      </c>
      <c r="H70" s="989">
        <v>3500</v>
      </c>
      <c r="I70" s="989">
        <f>H70*3%</f>
        <v>105</v>
      </c>
      <c r="J70" s="989">
        <v>3500</v>
      </c>
      <c r="K70" s="976">
        <v>3500</v>
      </c>
      <c r="L70" s="992"/>
      <c r="M70" s="976"/>
      <c r="N70" s="976"/>
      <c r="O70" s="998"/>
      <c r="P70" s="999"/>
      <c r="Q70" s="886">
        <v>32</v>
      </c>
      <c r="S70" s="911"/>
      <c r="T70" s="911"/>
      <c r="U70" s="912">
        <v>10</v>
      </c>
      <c r="V70" s="945"/>
      <c r="W70" s="945"/>
      <c r="Y70" s="886">
        <v>32</v>
      </c>
      <c r="AF70" s="946">
        <f t="shared" si="7"/>
        <v>3500</v>
      </c>
      <c r="AG70" s="947">
        <f t="shared" si="6"/>
        <v>97.087378640776706</v>
      </c>
      <c r="AH70" s="913">
        <f t="shared" si="28"/>
        <v>100</v>
      </c>
    </row>
    <row r="71" spans="1:43" s="388" customFormat="1" ht="77.25" customHeight="1">
      <c r="A71" s="1046">
        <v>2</v>
      </c>
      <c r="B71" s="1047" t="s">
        <v>1013</v>
      </c>
      <c r="C71" s="1048" t="s">
        <v>1002</v>
      </c>
      <c r="D71" s="1047" t="s">
        <v>1014</v>
      </c>
      <c r="E71" s="1048" t="s">
        <v>994</v>
      </c>
      <c r="F71" s="1085"/>
      <c r="G71" s="1073">
        <f>SUM(H71:I71)</f>
        <v>3575</v>
      </c>
      <c r="H71" s="1073">
        <v>2500</v>
      </c>
      <c r="I71" s="1073">
        <f>1075</f>
        <v>1075</v>
      </c>
      <c r="J71" s="1073">
        <v>2500</v>
      </c>
      <c r="K71" s="1065">
        <v>1000</v>
      </c>
      <c r="L71" s="1081">
        <f>M71+N71</f>
        <v>1287.5</v>
      </c>
      <c r="M71" s="1065">
        <v>1250</v>
      </c>
      <c r="N71" s="1065">
        <f>M71*3%</f>
        <v>37.5</v>
      </c>
      <c r="O71" s="1083"/>
      <c r="P71" s="1084"/>
      <c r="Q71" s="1035">
        <v>33</v>
      </c>
      <c r="R71" s="1033"/>
      <c r="S71" s="1034"/>
      <c r="T71" s="1034"/>
      <c r="U71" s="1032">
        <v>11</v>
      </c>
      <c r="V71" s="1036"/>
      <c r="W71" s="1036"/>
      <c r="X71" s="1035"/>
      <c r="Y71" s="1035">
        <v>33</v>
      </c>
      <c r="Z71" s="1035"/>
      <c r="AA71" s="1035"/>
      <c r="AB71" s="1035"/>
      <c r="AC71" s="1035"/>
      <c r="AD71" s="1035"/>
      <c r="AE71" s="1035"/>
      <c r="AF71" s="1038">
        <f t="shared" si="7"/>
        <v>2287.5</v>
      </c>
      <c r="AG71" s="1039">
        <f t="shared" si="6"/>
        <v>63.986013986013987</v>
      </c>
      <c r="AH71" s="1080">
        <f t="shared" si="28"/>
        <v>91.5</v>
      </c>
      <c r="AI71" s="1035"/>
      <c r="AJ71" s="1035"/>
      <c r="AK71" s="1035"/>
      <c r="AL71" s="1035"/>
      <c r="AM71" s="1035"/>
      <c r="AN71" s="1035"/>
      <c r="AO71" s="1035"/>
      <c r="AP71" s="1035"/>
      <c r="AQ71" s="1035"/>
    </row>
    <row r="72" spans="1:43" s="388" customFormat="1" ht="65.25" customHeight="1">
      <c r="A72" s="1057">
        <v>3</v>
      </c>
      <c r="B72" s="1041" t="s">
        <v>1015</v>
      </c>
      <c r="C72" s="1059" t="s">
        <v>1016</v>
      </c>
      <c r="D72" s="1058" t="s">
        <v>1017</v>
      </c>
      <c r="E72" s="1060" t="s">
        <v>994</v>
      </c>
      <c r="F72" s="1061"/>
      <c r="G72" s="1072">
        <f>SUM(H72:I72)</f>
        <v>5150</v>
      </c>
      <c r="H72" s="1072">
        <v>5000</v>
      </c>
      <c r="I72" s="1072">
        <f>H72*3%</f>
        <v>150</v>
      </c>
      <c r="J72" s="1072">
        <v>5000</v>
      </c>
      <c r="K72" s="1065">
        <v>3000</v>
      </c>
      <c r="L72" s="1081">
        <f>M72+N72</f>
        <v>1545</v>
      </c>
      <c r="M72" s="1065">
        <v>1500</v>
      </c>
      <c r="N72" s="1065">
        <f>M72*3%</f>
        <v>45</v>
      </c>
      <c r="O72" s="1083"/>
      <c r="P72" s="1084"/>
      <c r="Q72" s="1035">
        <v>34</v>
      </c>
      <c r="R72" s="1033"/>
      <c r="S72" s="1034"/>
      <c r="T72" s="1034"/>
      <c r="U72" s="1032">
        <v>12</v>
      </c>
      <c r="V72" s="1036"/>
      <c r="W72" s="1036"/>
      <c r="X72" s="1035"/>
      <c r="Y72" s="1035">
        <v>34</v>
      </c>
      <c r="Z72" s="1035"/>
      <c r="AA72" s="1035"/>
      <c r="AB72" s="1035"/>
      <c r="AC72" s="1035"/>
      <c r="AD72" s="1035"/>
      <c r="AE72" s="1035"/>
      <c r="AF72" s="1038">
        <f t="shared" si="7"/>
        <v>4545</v>
      </c>
      <c r="AG72" s="1039">
        <f t="shared" si="6"/>
        <v>88.252427184466015</v>
      </c>
      <c r="AH72" s="1080">
        <f t="shared" si="28"/>
        <v>90.9</v>
      </c>
      <c r="AI72" s="1035"/>
      <c r="AJ72" s="1035"/>
      <c r="AK72" s="1035"/>
      <c r="AL72" s="1035"/>
      <c r="AM72" s="1035"/>
      <c r="AN72" s="1035"/>
      <c r="AO72" s="1035"/>
      <c r="AP72" s="1035"/>
      <c r="AQ72" s="1035"/>
    </row>
    <row r="73" spans="1:43" s="1006" customFormat="1" ht="34.5" customHeight="1">
      <c r="A73" s="1008" t="s">
        <v>1018</v>
      </c>
      <c r="B73" s="1009" t="s">
        <v>805</v>
      </c>
      <c r="C73" s="1007"/>
      <c r="D73" s="1009"/>
      <c r="E73" s="1007"/>
      <c r="F73" s="1007"/>
      <c r="G73" s="1010">
        <f t="shared" ref="G73:N73" si="33">G74</f>
        <v>15965</v>
      </c>
      <c r="H73" s="1010">
        <f t="shared" si="33"/>
        <v>15500</v>
      </c>
      <c r="I73" s="1010">
        <f t="shared" si="33"/>
        <v>465</v>
      </c>
      <c r="J73" s="1010">
        <f t="shared" si="33"/>
        <v>15500</v>
      </c>
      <c r="K73" s="1010">
        <f t="shared" si="33"/>
        <v>8436</v>
      </c>
      <c r="L73" s="1011">
        <f t="shared" si="33"/>
        <v>5562</v>
      </c>
      <c r="M73" s="1010">
        <f t="shared" si="33"/>
        <v>5400</v>
      </c>
      <c r="N73" s="1010">
        <f t="shared" si="33"/>
        <v>162</v>
      </c>
      <c r="O73" s="998"/>
      <c r="P73" s="999"/>
      <c r="Q73" s="1005"/>
      <c r="R73" s="887"/>
      <c r="S73" s="911"/>
      <c r="T73" s="911"/>
      <c r="U73" s="912"/>
      <c r="V73" s="945"/>
      <c r="W73" s="945"/>
      <c r="X73" s="1005"/>
      <c r="Y73" s="1005"/>
      <c r="Z73" s="1005"/>
      <c r="AA73" s="1005"/>
      <c r="AB73" s="1005"/>
      <c r="AC73" s="1005"/>
      <c r="AD73" s="1005"/>
      <c r="AE73" s="1005"/>
      <c r="AF73" s="946">
        <f t="shared" si="7"/>
        <v>13998</v>
      </c>
      <c r="AG73" s="947">
        <f t="shared" si="6"/>
        <v>87.679298465393046</v>
      </c>
      <c r="AH73" s="913">
        <f t="shared" si="28"/>
        <v>90.309677419354841</v>
      </c>
      <c r="AI73" s="1005"/>
      <c r="AJ73" s="1005"/>
      <c r="AK73" s="1005"/>
      <c r="AL73" s="1005"/>
      <c r="AM73" s="1005"/>
      <c r="AN73" s="1005"/>
      <c r="AO73" s="1005"/>
      <c r="AP73" s="1005"/>
      <c r="AQ73" s="1005"/>
    </row>
    <row r="74" spans="1:43" s="1006" customFormat="1" ht="35.25" customHeight="1">
      <c r="A74" s="1012"/>
      <c r="B74" s="969" t="s">
        <v>902</v>
      </c>
      <c r="C74" s="962"/>
      <c r="D74" s="1013"/>
      <c r="E74" s="962"/>
      <c r="F74" s="962"/>
      <c r="G74" s="1014">
        <f t="shared" ref="G74:N74" si="34">SUM(G75:G76)</f>
        <v>15965</v>
      </c>
      <c r="H74" s="1014">
        <f t="shared" si="34"/>
        <v>15500</v>
      </c>
      <c r="I74" s="1014">
        <f t="shared" si="34"/>
        <v>465</v>
      </c>
      <c r="J74" s="1014">
        <f t="shared" si="34"/>
        <v>15500</v>
      </c>
      <c r="K74" s="1014">
        <f t="shared" si="34"/>
        <v>8436</v>
      </c>
      <c r="L74" s="1015">
        <f t="shared" si="34"/>
        <v>5562</v>
      </c>
      <c r="M74" s="1014">
        <f t="shared" si="34"/>
        <v>5400</v>
      </c>
      <c r="N74" s="1014">
        <f t="shared" si="34"/>
        <v>162</v>
      </c>
      <c r="O74" s="998"/>
      <c r="P74" s="999"/>
      <c r="Q74" s="1005"/>
      <c r="R74" s="887"/>
      <c r="S74" s="911"/>
      <c r="T74" s="911"/>
      <c r="U74" s="912"/>
      <c r="V74" s="945" t="s">
        <v>903</v>
      </c>
      <c r="W74" s="945"/>
      <c r="X74" s="1005"/>
      <c r="Y74" s="1005"/>
      <c r="Z74" s="1005"/>
      <c r="AA74" s="1005"/>
      <c r="AB74" s="1005"/>
      <c r="AC74" s="1005"/>
      <c r="AD74" s="1005"/>
      <c r="AE74" s="1005"/>
      <c r="AF74" s="946">
        <f t="shared" si="7"/>
        <v>13998</v>
      </c>
      <c r="AG74" s="947">
        <f t="shared" si="6"/>
        <v>87.679298465393046</v>
      </c>
      <c r="AH74" s="913">
        <f t="shared" si="28"/>
        <v>90.309677419354841</v>
      </c>
      <c r="AI74" s="1005"/>
      <c r="AJ74" s="1005"/>
      <c r="AK74" s="1005"/>
      <c r="AL74" s="1005"/>
      <c r="AM74" s="1005"/>
      <c r="AN74" s="1005"/>
      <c r="AO74" s="1005"/>
      <c r="AP74" s="1005"/>
      <c r="AQ74" s="1005"/>
    </row>
    <row r="75" spans="1:43" s="1086" customFormat="1" ht="91.5" customHeight="1">
      <c r="A75" s="1046">
        <v>1</v>
      </c>
      <c r="B75" s="1047" t="s">
        <v>1019</v>
      </c>
      <c r="C75" s="1048" t="s">
        <v>1020</v>
      </c>
      <c r="D75" s="1047" t="s">
        <v>1021</v>
      </c>
      <c r="E75" s="1048" t="s">
        <v>994</v>
      </c>
      <c r="F75" s="1050"/>
      <c r="G75" s="1073">
        <f>SUM(H75:I75)</f>
        <v>10815</v>
      </c>
      <c r="H75" s="1073">
        <f>9000+1500</f>
        <v>10500</v>
      </c>
      <c r="I75" s="1073">
        <f>H75*3%</f>
        <v>315</v>
      </c>
      <c r="J75" s="1073">
        <f>9000+1500</f>
        <v>10500</v>
      </c>
      <c r="K75" s="1065">
        <v>5436</v>
      </c>
      <c r="L75" s="1081">
        <f>M75+N75</f>
        <v>4017</v>
      </c>
      <c r="M75" s="1065">
        <v>3900</v>
      </c>
      <c r="N75" s="1065">
        <f>M75*3%</f>
        <v>117</v>
      </c>
      <c r="O75" s="1083"/>
      <c r="P75" s="1084"/>
      <c r="Q75" s="1086">
        <v>35</v>
      </c>
      <c r="R75" s="1033"/>
      <c r="S75" s="1034"/>
      <c r="T75" s="1034"/>
      <c r="U75" s="1032">
        <v>13</v>
      </c>
      <c r="V75" s="1036"/>
      <c r="W75" s="1036"/>
      <c r="Y75" s="1086">
        <v>35</v>
      </c>
      <c r="AF75" s="1038">
        <f t="shared" si="7"/>
        <v>9453</v>
      </c>
      <c r="AG75" s="1039">
        <f t="shared" si="6"/>
        <v>87.406380027739246</v>
      </c>
      <c r="AH75" s="1080">
        <f t="shared" si="28"/>
        <v>90.028571428571425</v>
      </c>
    </row>
    <row r="76" spans="1:43" s="388" customFormat="1" ht="49.5" customHeight="1">
      <c r="A76" s="1046">
        <v>2</v>
      </c>
      <c r="B76" s="1047" t="s">
        <v>1022</v>
      </c>
      <c r="C76" s="1048" t="s">
        <v>1023</v>
      </c>
      <c r="D76" s="1047" t="s">
        <v>1024</v>
      </c>
      <c r="E76" s="1048" t="s">
        <v>994</v>
      </c>
      <c r="F76" s="1050"/>
      <c r="G76" s="1073">
        <f>SUM(H76:I76)</f>
        <v>5150</v>
      </c>
      <c r="H76" s="1073">
        <v>5000</v>
      </c>
      <c r="I76" s="1073">
        <f>H76*3%</f>
        <v>150</v>
      </c>
      <c r="J76" s="1073">
        <v>5000</v>
      </c>
      <c r="K76" s="1065">
        <v>3000</v>
      </c>
      <c r="L76" s="1081">
        <f>M76+N76</f>
        <v>1545</v>
      </c>
      <c r="M76" s="1065">
        <v>1500</v>
      </c>
      <c r="N76" s="1065">
        <f>M76*3%</f>
        <v>45</v>
      </c>
      <c r="O76" s="1083"/>
      <c r="P76" s="1084"/>
      <c r="Q76" s="1087">
        <v>36</v>
      </c>
      <c r="R76" s="1033"/>
      <c r="S76" s="1034"/>
      <c r="T76" s="1034"/>
      <c r="U76" s="1032">
        <v>14</v>
      </c>
      <c r="V76" s="1036"/>
      <c r="W76" s="1036"/>
      <c r="X76" s="1086"/>
      <c r="Y76" s="1035">
        <v>36</v>
      </c>
      <c r="Z76" s="1035"/>
      <c r="AA76" s="1035"/>
      <c r="AB76" s="1035"/>
      <c r="AC76" s="1035"/>
      <c r="AD76" s="1035"/>
      <c r="AE76" s="1035"/>
      <c r="AF76" s="1038">
        <f t="shared" si="7"/>
        <v>4545</v>
      </c>
      <c r="AG76" s="1039">
        <f t="shared" si="6"/>
        <v>88.252427184466015</v>
      </c>
      <c r="AH76" s="1080">
        <f t="shared" si="28"/>
        <v>90.9</v>
      </c>
      <c r="AI76" s="1035"/>
      <c r="AJ76" s="1035"/>
      <c r="AK76" s="1035"/>
      <c r="AL76" s="1035"/>
      <c r="AM76" s="1035"/>
      <c r="AN76" s="1035"/>
      <c r="AO76" s="1035"/>
      <c r="AP76" s="1035"/>
      <c r="AQ76" s="1035"/>
    </row>
    <row r="77" spans="1:43">
      <c r="A77" s="1016"/>
      <c r="B77" s="1017"/>
      <c r="C77" s="1018"/>
      <c r="D77" s="1017"/>
    </row>
    <row r="78" spans="1:43">
      <c r="A78" s="1016"/>
      <c r="B78" s="1017"/>
      <c r="C78" s="1018"/>
      <c r="D78" s="1017"/>
    </row>
    <row r="79" spans="1:43">
      <c r="A79" s="1016"/>
      <c r="B79" s="1017"/>
      <c r="C79" s="1018"/>
      <c r="D79" s="1017"/>
      <c r="G79" s="1019"/>
      <c r="H79" s="1019"/>
      <c r="I79" s="1019"/>
      <c r="J79" s="1019"/>
      <c r="K79" s="1019"/>
      <c r="L79" s="1020"/>
      <c r="M79" s="1019"/>
      <c r="N79" s="1019"/>
    </row>
    <row r="80" spans="1:43">
      <c r="A80" s="1016"/>
      <c r="B80" s="1017"/>
      <c r="C80" s="1018"/>
      <c r="D80" s="1017"/>
    </row>
    <row r="81" spans="1:4">
      <c r="A81" s="1016"/>
      <c r="B81" s="1017"/>
      <c r="C81" s="1018"/>
      <c r="D81" s="1017"/>
    </row>
    <row r="82" spans="1:4">
      <c r="A82" s="1016"/>
      <c r="B82" s="1017"/>
      <c r="C82" s="1018"/>
      <c r="D82" s="1017"/>
    </row>
    <row r="83" spans="1:4">
      <c r="A83" s="1016"/>
      <c r="B83" s="1017"/>
      <c r="C83" s="1018"/>
      <c r="D83" s="1017"/>
    </row>
    <row r="84" spans="1:4">
      <c r="A84" s="1016"/>
      <c r="B84" s="1017"/>
      <c r="C84" s="1018"/>
      <c r="D84" s="1017"/>
    </row>
    <row r="85" spans="1:4">
      <c r="A85" s="1016"/>
      <c r="B85" s="1017"/>
      <c r="C85" s="1018"/>
      <c r="D85" s="1017"/>
    </row>
    <row r="86" spans="1:4">
      <c r="A86" s="1016"/>
      <c r="B86" s="1017"/>
      <c r="C86" s="1018"/>
      <c r="D86" s="1017"/>
    </row>
    <row r="87" spans="1:4">
      <c r="A87" s="1016"/>
      <c r="B87" s="1017"/>
      <c r="C87" s="1018"/>
      <c r="D87" s="1017"/>
    </row>
    <row r="88" spans="1:4">
      <c r="A88" s="1016"/>
      <c r="B88" s="1017"/>
      <c r="C88" s="1018"/>
      <c r="D88" s="1017"/>
    </row>
    <row r="89" spans="1:4">
      <c r="A89" s="1016"/>
      <c r="B89" s="1017"/>
      <c r="C89" s="1018"/>
      <c r="D89" s="1017"/>
    </row>
    <row r="90" spans="1:4">
      <c r="A90" s="1016"/>
      <c r="B90" s="1017"/>
      <c r="C90" s="1018"/>
      <c r="D90" s="1017"/>
    </row>
    <row r="91" spans="1:4">
      <c r="A91" s="1016"/>
      <c r="B91" s="1017"/>
      <c r="C91" s="1018"/>
      <c r="D91" s="1017"/>
    </row>
    <row r="92" spans="1:4">
      <c r="A92" s="1016"/>
      <c r="B92" s="1017"/>
      <c r="C92" s="1018"/>
      <c r="D92" s="1017"/>
    </row>
    <row r="93" spans="1:4">
      <c r="A93" s="1016"/>
      <c r="B93" s="1017"/>
      <c r="C93" s="1018"/>
      <c r="D93" s="1017"/>
    </row>
    <row r="94" spans="1:4">
      <c r="A94" s="1016"/>
      <c r="B94" s="1017"/>
      <c r="C94" s="1018"/>
      <c r="D94" s="1017"/>
    </row>
    <row r="95" spans="1:4">
      <c r="A95" s="1016"/>
      <c r="B95" s="1017"/>
      <c r="C95" s="1018"/>
      <c r="D95" s="1017"/>
    </row>
    <row r="96" spans="1:4">
      <c r="A96" s="1016"/>
      <c r="B96" s="1017"/>
      <c r="C96" s="1018"/>
      <c r="D96" s="1017"/>
    </row>
    <row r="97" spans="1:4">
      <c r="A97" s="1016"/>
      <c r="B97" s="1017"/>
      <c r="C97" s="1018"/>
      <c r="D97" s="1017"/>
    </row>
    <row r="98" spans="1:4">
      <c r="A98" s="1016"/>
      <c r="B98" s="1017"/>
      <c r="C98" s="1018"/>
      <c r="D98" s="1017"/>
    </row>
    <row r="99" spans="1:4">
      <c r="A99" s="1016"/>
      <c r="B99" s="1017"/>
      <c r="C99" s="1018"/>
      <c r="D99" s="1017"/>
    </row>
    <row r="100" spans="1:4">
      <c r="A100" s="1016"/>
      <c r="B100" s="1017"/>
      <c r="C100" s="1018"/>
      <c r="D100" s="1017"/>
    </row>
    <row r="101" spans="1:4">
      <c r="A101" s="1016"/>
      <c r="B101" s="1017"/>
      <c r="C101" s="1018"/>
      <c r="D101" s="1017"/>
    </row>
    <row r="102" spans="1:4">
      <c r="A102" s="1016"/>
      <c r="B102" s="1017"/>
      <c r="C102" s="1018"/>
      <c r="D102" s="1017"/>
    </row>
    <row r="103" spans="1:4">
      <c r="A103" s="1016"/>
      <c r="B103" s="1017"/>
      <c r="C103" s="1018"/>
      <c r="D103" s="1017"/>
    </row>
    <row r="104" spans="1:4">
      <c r="A104" s="1016"/>
      <c r="B104" s="1017"/>
      <c r="C104" s="1018"/>
      <c r="D104" s="1017"/>
    </row>
    <row r="105" spans="1:4">
      <c r="A105" s="1016"/>
      <c r="B105" s="1017"/>
      <c r="C105" s="1018"/>
      <c r="D105" s="1017"/>
    </row>
    <row r="106" spans="1:4">
      <c r="A106" s="1016"/>
      <c r="B106" s="1017"/>
      <c r="C106" s="1018"/>
      <c r="D106" s="1017"/>
    </row>
    <row r="107" spans="1:4">
      <c r="A107" s="1016"/>
      <c r="B107" s="1017"/>
      <c r="C107" s="1018"/>
      <c r="D107" s="1017"/>
    </row>
    <row r="108" spans="1:4">
      <c r="A108" s="1016"/>
      <c r="B108" s="1017"/>
      <c r="C108" s="1018"/>
      <c r="D108" s="1017"/>
    </row>
    <row r="109" spans="1:4">
      <c r="A109" s="1016"/>
      <c r="B109" s="1017"/>
      <c r="C109" s="1018"/>
      <c r="D109" s="1017"/>
    </row>
    <row r="110" spans="1:4">
      <c r="A110" s="1016"/>
      <c r="B110" s="1017"/>
      <c r="C110" s="1018"/>
      <c r="D110" s="1017"/>
    </row>
    <row r="111" spans="1:4">
      <c r="A111" s="1016"/>
      <c r="B111" s="1017"/>
      <c r="C111" s="1018"/>
      <c r="D111" s="1017"/>
    </row>
    <row r="112" spans="1:4">
      <c r="A112" s="1016"/>
      <c r="B112" s="1017"/>
      <c r="C112" s="1018"/>
      <c r="D112" s="1017"/>
    </row>
    <row r="113" spans="1:4">
      <c r="A113" s="1016"/>
      <c r="B113" s="1017"/>
      <c r="C113" s="1018"/>
      <c r="D113" s="1017"/>
    </row>
  </sheetData>
  <mergeCells count="27">
    <mergeCell ref="AD9:AE9"/>
    <mergeCell ref="H8:I8"/>
    <mergeCell ref="M8:M10"/>
    <mergeCell ref="N8:N10"/>
    <mergeCell ref="H9:H10"/>
    <mergeCell ref="I9:I10"/>
    <mergeCell ref="AB9:AC9"/>
    <mergeCell ref="F5:I6"/>
    <mergeCell ref="J5:J10"/>
    <mergeCell ref="K5:K10"/>
    <mergeCell ref="L5:N6"/>
    <mergeCell ref="O5:O10"/>
    <mergeCell ref="F7:F10"/>
    <mergeCell ref="G7:I7"/>
    <mergeCell ref="L7:L10"/>
    <mergeCell ref="M7:N7"/>
    <mergeCell ref="G8:G10"/>
    <mergeCell ref="A5:A10"/>
    <mergeCell ref="B5:B10"/>
    <mergeCell ref="C5:C10"/>
    <mergeCell ref="D5:D10"/>
    <mergeCell ref="E5:E10"/>
    <mergeCell ref="A1:B1"/>
    <mergeCell ref="J1:O1"/>
    <mergeCell ref="A2:O2"/>
    <mergeCell ref="A3:O3"/>
    <mergeCell ref="K4:O4"/>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AV80"/>
  <sheetViews>
    <sheetView topLeftCell="A4" zoomScale="68" zoomScaleNormal="68" workbookViewId="0">
      <pane xSplit="2" ySplit="6" topLeftCell="C36" activePane="bottomRight" state="frozen"/>
      <selection activeCell="E25" sqref="E25"/>
      <selection pane="topRight" activeCell="E25" sqref="E25"/>
      <selection pane="bottomLeft" activeCell="E25" sqref="E25"/>
      <selection pane="bottomRight" activeCell="E25" sqref="E25"/>
    </sheetView>
  </sheetViews>
  <sheetFormatPr defaultColWidth="8.25" defaultRowHeight="18.75"/>
  <cols>
    <col min="1" max="1" width="6.625" style="1140" customWidth="1"/>
    <col min="2" max="2" width="58.875" style="1121" customWidth="1"/>
    <col min="3" max="3" width="12.375" style="1176" customWidth="1"/>
    <col min="4" max="4" width="10.5" style="1140" customWidth="1"/>
    <col min="5" max="5" width="14" style="1176" customWidth="1"/>
    <col min="6" max="6" width="13.625" style="1176" customWidth="1"/>
    <col min="7" max="7" width="14.25" style="1176" customWidth="1"/>
    <col min="8" max="8" width="11.75" style="1176" customWidth="1"/>
    <col min="9" max="9" width="10.25" style="1176" customWidth="1"/>
    <col min="10" max="10" width="9.875" style="1176" customWidth="1"/>
    <col min="11" max="11" width="11.5" style="1176" customWidth="1"/>
    <col min="12" max="12" width="13.375" style="1176" customWidth="1"/>
    <col min="13" max="13" width="7.625" style="1120" hidden="1" customWidth="1"/>
    <col min="14" max="14" width="20.875" style="1121" hidden="1" customWidth="1"/>
    <col min="15" max="15" width="11.5" style="1121" hidden="1" customWidth="1"/>
    <col min="16" max="16" width="16.5" style="1121" hidden="1" customWidth="1"/>
    <col min="17" max="17" width="9.625" style="1121" hidden="1" customWidth="1"/>
    <col min="18" max="29" width="0" style="1121" hidden="1" customWidth="1"/>
    <col min="30" max="30" width="10.75" style="1121" hidden="1" customWidth="1"/>
    <col min="31" max="31" width="0" style="1121" hidden="1" customWidth="1"/>
    <col min="32" max="33" width="10.75" style="1121" hidden="1" customWidth="1"/>
    <col min="34" max="61" width="0" style="1121" hidden="1" customWidth="1"/>
    <col min="62" max="16384" width="8.25" style="1121"/>
  </cols>
  <sheetData>
    <row r="1" spans="1:33" s="1118" customFormat="1" ht="19.5" customHeight="1">
      <c r="A1" s="1433"/>
      <c r="B1" s="1433"/>
      <c r="K1" s="1434" t="s">
        <v>250</v>
      </c>
      <c r="L1" s="1434"/>
      <c r="M1" s="1119"/>
    </row>
    <row r="2" spans="1:33" s="1118" customFormat="1" ht="45.6" customHeight="1">
      <c r="A2" s="1435" t="s">
        <v>1053</v>
      </c>
      <c r="B2" s="1435"/>
      <c r="C2" s="1435"/>
      <c r="D2" s="1435"/>
      <c r="E2" s="1435"/>
      <c r="F2" s="1435"/>
      <c r="G2" s="1435"/>
      <c r="H2" s="1435"/>
      <c r="I2" s="1435"/>
      <c r="J2" s="1435"/>
      <c r="K2" s="1435"/>
      <c r="L2" s="1435"/>
      <c r="M2" s="1119"/>
    </row>
    <row r="3" spans="1:33" s="1118" customFormat="1" ht="31.5" customHeight="1">
      <c r="A3" s="1436" t="s">
        <v>1054</v>
      </c>
      <c r="B3" s="1437"/>
      <c r="C3" s="1437"/>
      <c r="D3" s="1437"/>
      <c r="E3" s="1437"/>
      <c r="F3" s="1437"/>
      <c r="G3" s="1437"/>
      <c r="H3" s="1437"/>
      <c r="I3" s="1437"/>
      <c r="J3" s="1437"/>
      <c r="K3" s="1437"/>
      <c r="L3" s="1437"/>
      <c r="M3" s="1119"/>
    </row>
    <row r="4" spans="1:33" ht="18.75" customHeight="1">
      <c r="A4" s="1438" t="s">
        <v>876</v>
      </c>
      <c r="B4" s="1438"/>
      <c r="C4" s="1438"/>
      <c r="D4" s="1438"/>
      <c r="E4" s="1438"/>
      <c r="F4" s="1438"/>
      <c r="G4" s="1438"/>
      <c r="H4" s="1438"/>
      <c r="I4" s="1438"/>
      <c r="J4" s="1438"/>
      <c r="K4" s="1438"/>
      <c r="L4" s="1438"/>
    </row>
    <row r="5" spans="1:33" ht="30" customHeight="1">
      <c r="A5" s="1439"/>
      <c r="B5" s="1442" t="s">
        <v>1055</v>
      </c>
      <c r="C5" s="1445" t="s">
        <v>1056</v>
      </c>
      <c r="D5" s="1446"/>
      <c r="E5" s="1446"/>
      <c r="F5" s="1446"/>
      <c r="G5" s="1446"/>
      <c r="H5" s="1446"/>
      <c r="I5" s="1446"/>
      <c r="J5" s="1446"/>
      <c r="K5" s="1446"/>
      <c r="L5" s="1447"/>
    </row>
    <row r="6" spans="1:33" ht="30" customHeight="1">
      <c r="A6" s="1440"/>
      <c r="B6" s="1443"/>
      <c r="C6" s="1448" t="s">
        <v>153</v>
      </c>
      <c r="D6" s="1450" t="s">
        <v>2</v>
      </c>
      <c r="E6" s="1451"/>
      <c r="F6" s="1451"/>
      <c r="G6" s="1451"/>
      <c r="H6" s="1451"/>
      <c r="I6" s="1451"/>
      <c r="J6" s="1451"/>
      <c r="K6" s="1451"/>
      <c r="L6" s="1452"/>
    </row>
    <row r="7" spans="1:33" s="1124" customFormat="1" ht="100.5" customHeight="1">
      <c r="A7" s="1441"/>
      <c r="B7" s="1444"/>
      <c r="C7" s="1449"/>
      <c r="D7" s="1122" t="s">
        <v>134</v>
      </c>
      <c r="E7" s="1122" t="s">
        <v>135</v>
      </c>
      <c r="F7" s="1122" t="s">
        <v>136</v>
      </c>
      <c r="G7" s="1122" t="s">
        <v>137</v>
      </c>
      <c r="H7" s="1122" t="s">
        <v>138</v>
      </c>
      <c r="I7" s="1122" t="s">
        <v>139</v>
      </c>
      <c r="J7" s="1122" t="s">
        <v>860</v>
      </c>
      <c r="K7" s="1122" t="s">
        <v>1148</v>
      </c>
      <c r="L7" s="1122" t="s">
        <v>1058</v>
      </c>
      <c r="M7" s="1123"/>
    </row>
    <row r="8" spans="1:33" s="1127" customFormat="1" ht="19.350000000000001" customHeight="1">
      <c r="A8" s="1125">
        <v>1</v>
      </c>
      <c r="B8" s="1125">
        <v>2</v>
      </c>
      <c r="C8" s="1125">
        <v>3</v>
      </c>
      <c r="D8" s="1125">
        <v>4</v>
      </c>
      <c r="E8" s="1125">
        <v>5</v>
      </c>
      <c r="F8" s="1125">
        <v>6</v>
      </c>
      <c r="G8" s="1125">
        <v>7</v>
      </c>
      <c r="H8" s="1125">
        <v>8</v>
      </c>
      <c r="I8" s="1125">
        <v>9</v>
      </c>
      <c r="J8" s="1125">
        <v>10</v>
      </c>
      <c r="K8" s="1125">
        <v>11</v>
      </c>
      <c r="L8" s="1125">
        <v>12</v>
      </c>
      <c r="M8" s="1126"/>
    </row>
    <row r="9" spans="1:33" s="1124" customFormat="1" ht="33" customHeight="1">
      <c r="A9" s="1128" t="s">
        <v>66</v>
      </c>
      <c r="B9" s="1129" t="s">
        <v>1059</v>
      </c>
      <c r="C9" s="1130">
        <f t="shared" ref="C9:L9" si="0">C10+C13</f>
        <v>264822</v>
      </c>
      <c r="D9" s="1130">
        <f t="shared" si="0"/>
        <v>78214.5</v>
      </c>
      <c r="E9" s="1130">
        <f t="shared" si="0"/>
        <v>74989.5</v>
      </c>
      <c r="F9" s="1130">
        <f t="shared" si="0"/>
        <v>17135</v>
      </c>
      <c r="G9" s="1130">
        <f t="shared" si="0"/>
        <v>13014</v>
      </c>
      <c r="H9" s="1130">
        <f t="shared" si="0"/>
        <v>20063</v>
      </c>
      <c r="I9" s="1130">
        <f t="shared" si="0"/>
        <v>20170</v>
      </c>
      <c r="J9" s="1130">
        <f t="shared" si="0"/>
        <v>3285</v>
      </c>
      <c r="K9" s="1130">
        <f t="shared" si="0"/>
        <v>12242</v>
      </c>
      <c r="L9" s="1130">
        <f t="shared" si="0"/>
        <v>25709</v>
      </c>
      <c r="M9" s="1131"/>
      <c r="AD9" s="1124">
        <f>112449+144659</f>
        <v>257108</v>
      </c>
      <c r="AF9" s="1124" t="s">
        <v>1060</v>
      </c>
      <c r="AG9" s="1124" t="s">
        <v>1061</v>
      </c>
    </row>
    <row r="10" spans="1:33" s="1124" customFormat="1" ht="33" customHeight="1">
      <c r="A10" s="1132">
        <v>1</v>
      </c>
      <c r="B10" s="1133" t="s">
        <v>1062</v>
      </c>
      <c r="C10" s="1134">
        <f t="shared" ref="C10:L10" si="1">C11+C12</f>
        <v>257108</v>
      </c>
      <c r="D10" s="1134">
        <f t="shared" si="1"/>
        <v>74385</v>
      </c>
      <c r="E10" s="1134">
        <f t="shared" si="1"/>
        <v>71805</v>
      </c>
      <c r="F10" s="1134">
        <f t="shared" si="1"/>
        <v>17135</v>
      </c>
      <c r="G10" s="1134">
        <f t="shared" si="1"/>
        <v>13014</v>
      </c>
      <c r="H10" s="1134">
        <f t="shared" si="1"/>
        <v>20063</v>
      </c>
      <c r="I10" s="1134">
        <f t="shared" si="1"/>
        <v>20170</v>
      </c>
      <c r="J10" s="1134">
        <f t="shared" si="1"/>
        <v>3285</v>
      </c>
      <c r="K10" s="1134">
        <f t="shared" si="1"/>
        <v>12120</v>
      </c>
      <c r="L10" s="1134">
        <f t="shared" si="1"/>
        <v>25131</v>
      </c>
      <c r="M10" s="1131"/>
      <c r="AD10" s="1135">
        <f>D10-44559</f>
        <v>29826</v>
      </c>
      <c r="AF10" s="1135">
        <f>C11+C14</f>
        <v>115823</v>
      </c>
      <c r="AG10" s="1135">
        <f>C12+C15</f>
        <v>148999</v>
      </c>
    </row>
    <row r="11" spans="1:33" s="1140" customFormat="1" ht="33" customHeight="1">
      <c r="A11" s="1136"/>
      <c r="B11" s="1137" t="s">
        <v>1063</v>
      </c>
      <c r="C11" s="1138">
        <f t="shared" ref="C11:L11" si="2">C19+C38</f>
        <v>112449</v>
      </c>
      <c r="D11" s="1138">
        <f t="shared" si="2"/>
        <v>44559</v>
      </c>
      <c r="E11" s="1138">
        <f t="shared" si="2"/>
        <v>44559</v>
      </c>
      <c r="F11" s="1138"/>
      <c r="G11" s="1138"/>
      <c r="H11" s="1138"/>
      <c r="I11" s="1138"/>
      <c r="J11" s="1138"/>
      <c r="K11" s="1138">
        <f t="shared" si="2"/>
        <v>4065</v>
      </c>
      <c r="L11" s="1138">
        <f t="shared" si="2"/>
        <v>19266</v>
      </c>
      <c r="M11" s="1139"/>
    </row>
    <row r="12" spans="1:33" s="1140" customFormat="1" ht="33" customHeight="1">
      <c r="A12" s="1136"/>
      <c r="B12" s="1137" t="s">
        <v>1064</v>
      </c>
      <c r="C12" s="1138">
        <f t="shared" ref="C12:L12" si="3">C20+C25+C28+C39+C61+C64+C73</f>
        <v>144659</v>
      </c>
      <c r="D12" s="1138">
        <f t="shared" si="3"/>
        <v>29826</v>
      </c>
      <c r="E12" s="1138">
        <f t="shared" si="3"/>
        <v>27246</v>
      </c>
      <c r="F12" s="1138">
        <f t="shared" si="3"/>
        <v>17135</v>
      </c>
      <c r="G12" s="1138">
        <f t="shared" si="3"/>
        <v>13014</v>
      </c>
      <c r="H12" s="1138">
        <f t="shared" si="3"/>
        <v>20063</v>
      </c>
      <c r="I12" s="1138">
        <f t="shared" si="3"/>
        <v>20170</v>
      </c>
      <c r="J12" s="1138">
        <f t="shared" si="3"/>
        <v>3285</v>
      </c>
      <c r="K12" s="1138">
        <f t="shared" si="3"/>
        <v>8055</v>
      </c>
      <c r="L12" s="1138">
        <f t="shared" si="3"/>
        <v>5865</v>
      </c>
      <c r="M12" s="1139"/>
      <c r="AD12" s="1141">
        <f>C12+12340</f>
        <v>156999</v>
      </c>
    </row>
    <row r="13" spans="1:33" s="1124" customFormat="1" ht="33" customHeight="1">
      <c r="A13" s="1132">
        <v>2</v>
      </c>
      <c r="B13" s="1133" t="s">
        <v>1065</v>
      </c>
      <c r="C13" s="1134">
        <f t="shared" ref="C13:L13" si="4">C14+C15</f>
        <v>7714</v>
      </c>
      <c r="D13" s="1134">
        <f t="shared" si="4"/>
        <v>3829.5</v>
      </c>
      <c r="E13" s="1134">
        <f t="shared" si="4"/>
        <v>3184.5</v>
      </c>
      <c r="F13" s="1134"/>
      <c r="G13" s="1134"/>
      <c r="H13" s="1134"/>
      <c r="I13" s="1134"/>
      <c r="J13" s="1134"/>
      <c r="K13" s="1134">
        <f t="shared" si="4"/>
        <v>122</v>
      </c>
      <c r="L13" s="1134">
        <f t="shared" si="4"/>
        <v>578</v>
      </c>
      <c r="M13" s="1131"/>
    </row>
    <row r="14" spans="1:33" s="1140" customFormat="1" ht="33" customHeight="1">
      <c r="A14" s="1136"/>
      <c r="B14" s="1137" t="s">
        <v>1063</v>
      </c>
      <c r="C14" s="1138">
        <f t="shared" ref="C14:L14" si="5">C22+C41</f>
        <v>3374</v>
      </c>
      <c r="D14" s="1138">
        <f t="shared" si="5"/>
        <v>1337</v>
      </c>
      <c r="E14" s="1138">
        <f t="shared" si="5"/>
        <v>1337</v>
      </c>
      <c r="F14" s="1138"/>
      <c r="G14" s="1138"/>
      <c r="H14" s="1138"/>
      <c r="I14" s="1138"/>
      <c r="J14" s="1138"/>
      <c r="K14" s="1138">
        <f t="shared" si="5"/>
        <v>122</v>
      </c>
      <c r="L14" s="1138">
        <f t="shared" si="5"/>
        <v>578</v>
      </c>
      <c r="M14" s="1139"/>
    </row>
    <row r="15" spans="1:33" s="1140" customFormat="1" ht="33" customHeight="1">
      <c r="A15" s="1136"/>
      <c r="B15" s="1137" t="s">
        <v>1064</v>
      </c>
      <c r="C15" s="1138">
        <f t="shared" ref="C15:L15" si="6">C23+C26+C29+C42+C62+C65+C74</f>
        <v>4340</v>
      </c>
      <c r="D15" s="1138">
        <f t="shared" si="6"/>
        <v>2492.5</v>
      </c>
      <c r="E15" s="1138">
        <f t="shared" si="6"/>
        <v>1847.5</v>
      </c>
      <c r="F15" s="1138"/>
      <c r="G15" s="1138"/>
      <c r="H15" s="1138"/>
      <c r="I15" s="1138"/>
      <c r="J15" s="1138"/>
      <c r="K15" s="1138">
        <f t="shared" si="6"/>
        <v>0</v>
      </c>
      <c r="L15" s="1138">
        <f t="shared" si="6"/>
        <v>0</v>
      </c>
      <c r="M15" s="1139"/>
    </row>
    <row r="16" spans="1:33" s="1144" customFormat="1" ht="39" customHeight="1">
      <c r="A16" s="1142" t="s">
        <v>67</v>
      </c>
      <c r="B16" s="1143" t="s">
        <v>1066</v>
      </c>
      <c r="C16" s="1134">
        <f>D16+E16+F16+G16+H16+I16+J16+K16+L16</f>
        <v>264822</v>
      </c>
      <c r="D16" s="1134">
        <f t="shared" ref="D16:L16" si="7">D17+D24+D27+D36+D60+D63+D72</f>
        <v>78214.5</v>
      </c>
      <c r="E16" s="1134">
        <f t="shared" si="7"/>
        <v>74989.5</v>
      </c>
      <c r="F16" s="1134">
        <f t="shared" si="7"/>
        <v>17135</v>
      </c>
      <c r="G16" s="1134">
        <f t="shared" si="7"/>
        <v>13014</v>
      </c>
      <c r="H16" s="1134">
        <f t="shared" si="7"/>
        <v>20063</v>
      </c>
      <c r="I16" s="1134">
        <f t="shared" si="7"/>
        <v>20170</v>
      </c>
      <c r="J16" s="1134">
        <f t="shared" si="7"/>
        <v>3285</v>
      </c>
      <c r="K16" s="1134">
        <f t="shared" si="7"/>
        <v>12242</v>
      </c>
      <c r="L16" s="1134">
        <f t="shared" si="7"/>
        <v>25709</v>
      </c>
      <c r="M16" s="1131"/>
      <c r="AD16" s="1144">
        <f>C12*3%</f>
        <v>4339.7699999999995</v>
      </c>
    </row>
    <row r="17" spans="1:30" s="1145" customFormat="1" ht="42.6" customHeight="1">
      <c r="A17" s="1142">
        <v>1</v>
      </c>
      <c r="B17" s="1143" t="s">
        <v>1067</v>
      </c>
      <c r="C17" s="1134">
        <f>D17+E17+F17+G17+H17+I17+J17+K17+L17</f>
        <v>101959</v>
      </c>
      <c r="D17" s="1134">
        <f>D18+D21</f>
        <v>50979.5</v>
      </c>
      <c r="E17" s="1134">
        <f>E18+E21</f>
        <v>50979.5</v>
      </c>
      <c r="F17" s="1134"/>
      <c r="G17" s="1134"/>
      <c r="H17" s="1134"/>
      <c r="I17" s="1134"/>
      <c r="J17" s="1134"/>
      <c r="K17" s="1134"/>
      <c r="L17" s="1134"/>
      <c r="N17" s="1145">
        <f>15*170</f>
        <v>2550</v>
      </c>
    </row>
    <row r="18" spans="1:30" s="1145" customFormat="1" ht="30.75" customHeight="1">
      <c r="A18" s="1142" t="s">
        <v>122</v>
      </c>
      <c r="B18" s="1143" t="s">
        <v>1068</v>
      </c>
      <c r="C18" s="1134">
        <f>SUM(C19:C20)</f>
        <v>98030</v>
      </c>
      <c r="D18" s="1134">
        <f>SUM(D19:D20)</f>
        <v>49015</v>
      </c>
      <c r="E18" s="1134">
        <f>SUM(E19:E20)</f>
        <v>49015</v>
      </c>
      <c r="F18" s="1134"/>
      <c r="G18" s="1134"/>
      <c r="H18" s="1134"/>
      <c r="I18" s="1134"/>
      <c r="J18" s="1134"/>
      <c r="K18" s="1134"/>
      <c r="L18" s="1134"/>
    </row>
    <row r="19" spans="1:30" s="1145" customFormat="1" ht="30.75" customHeight="1">
      <c r="A19" s="1142"/>
      <c r="B19" s="1137" t="s">
        <v>1063</v>
      </c>
      <c r="C19" s="1134">
        <f>SUM(D19:L19)</f>
        <v>89118</v>
      </c>
      <c r="D19" s="1134">
        <v>44559</v>
      </c>
      <c r="E19" s="1134">
        <v>44559</v>
      </c>
      <c r="F19" s="1134"/>
      <c r="G19" s="1134"/>
      <c r="H19" s="1134"/>
      <c r="I19" s="1134"/>
      <c r="J19" s="1134"/>
      <c r="K19" s="1134"/>
      <c r="L19" s="1134"/>
      <c r="AD19" s="1145">
        <f>C19*3%</f>
        <v>2673.54</v>
      </c>
    </row>
    <row r="20" spans="1:30" s="1145" customFormat="1" ht="30.75" customHeight="1">
      <c r="A20" s="1142"/>
      <c r="B20" s="1137" t="s">
        <v>1064</v>
      </c>
      <c r="C20" s="1134">
        <f>SUM(D20:L20)</f>
        <v>8912</v>
      </c>
      <c r="D20" s="1134">
        <v>4456</v>
      </c>
      <c r="E20" s="1134">
        <v>4456</v>
      </c>
      <c r="F20" s="1134"/>
      <c r="G20" s="1134"/>
      <c r="H20" s="1134"/>
      <c r="I20" s="1134"/>
      <c r="J20" s="1134"/>
      <c r="K20" s="1134"/>
      <c r="L20" s="1134"/>
    </row>
    <row r="21" spans="1:30" s="1145" customFormat="1" ht="30.75" customHeight="1">
      <c r="A21" s="1142" t="s">
        <v>124</v>
      </c>
      <c r="B21" s="1133" t="s">
        <v>1065</v>
      </c>
      <c r="C21" s="1134">
        <f>SUM(D21:L21)</f>
        <v>3929</v>
      </c>
      <c r="D21" s="1134">
        <f>D22+D23</f>
        <v>1964.5</v>
      </c>
      <c r="E21" s="1134">
        <f>E22+E23</f>
        <v>1964.5</v>
      </c>
      <c r="F21" s="1134"/>
      <c r="G21" s="1134"/>
      <c r="H21" s="1134"/>
      <c r="I21" s="1134"/>
      <c r="J21" s="1134"/>
      <c r="K21" s="1134"/>
      <c r="L21" s="1134"/>
    </row>
    <row r="22" spans="1:30" s="1120" customFormat="1" ht="30.75" customHeight="1">
      <c r="A22" s="1146"/>
      <c r="B22" s="1137" t="s">
        <v>1063</v>
      </c>
      <c r="C22" s="1138">
        <f>SUM(D22:L22)</f>
        <v>2674</v>
      </c>
      <c r="D22" s="1138">
        <v>1337</v>
      </c>
      <c r="E22" s="1138">
        <v>1337</v>
      </c>
      <c r="F22" s="1138"/>
      <c r="G22" s="1138"/>
      <c r="H22" s="1138"/>
      <c r="I22" s="1138"/>
      <c r="J22" s="1138"/>
      <c r="K22" s="1138"/>
      <c r="L22" s="1138"/>
    </row>
    <row r="23" spans="1:30" s="1120" customFormat="1" ht="30.75" customHeight="1">
      <c r="A23" s="1146"/>
      <c r="B23" s="1137" t="s">
        <v>1064</v>
      </c>
      <c r="C23" s="1138">
        <f>SUM(D23:L23)</f>
        <v>1255</v>
      </c>
      <c r="D23" s="1138">
        <v>627.5</v>
      </c>
      <c r="E23" s="1138">
        <v>627.5</v>
      </c>
      <c r="F23" s="1138"/>
      <c r="G23" s="1138"/>
      <c r="H23" s="1138"/>
      <c r="I23" s="1138"/>
      <c r="J23" s="1138"/>
      <c r="K23" s="1138"/>
      <c r="L23" s="1138"/>
    </row>
    <row r="24" spans="1:30" s="1145" customFormat="1" ht="54.75" customHeight="1">
      <c r="A24" s="1142">
        <v>2</v>
      </c>
      <c r="B24" s="1143" t="s">
        <v>1069</v>
      </c>
      <c r="C24" s="1134">
        <f t="shared" ref="C24:J24" si="8">C25+C26</f>
        <v>44399</v>
      </c>
      <c r="D24" s="1134">
        <f t="shared" si="8"/>
        <v>6873</v>
      </c>
      <c r="E24" s="1134">
        <f t="shared" si="8"/>
        <v>6873</v>
      </c>
      <c r="F24" s="1134">
        <f t="shared" si="8"/>
        <v>7110</v>
      </c>
      <c r="G24" s="1134">
        <f t="shared" si="8"/>
        <v>5135</v>
      </c>
      <c r="H24" s="1134">
        <f t="shared" si="8"/>
        <v>8690</v>
      </c>
      <c r="I24" s="1134">
        <f t="shared" si="8"/>
        <v>8690</v>
      </c>
      <c r="J24" s="1134">
        <f t="shared" si="8"/>
        <v>1028</v>
      </c>
      <c r="K24" s="1134"/>
      <c r="L24" s="1134"/>
      <c r="AD24" s="1145">
        <f>1157+4065</f>
        <v>5222</v>
      </c>
    </row>
    <row r="25" spans="1:30" s="1120" customFormat="1" ht="42.6" customHeight="1">
      <c r="A25" s="1146"/>
      <c r="B25" s="1147" t="s">
        <v>1062</v>
      </c>
      <c r="C25" s="1138">
        <f>SUM(D25:L25)</f>
        <v>44399</v>
      </c>
      <c r="D25" s="1138">
        <v>6873</v>
      </c>
      <c r="E25" s="1138">
        <v>6873</v>
      </c>
      <c r="F25" s="1138">
        <v>7110</v>
      </c>
      <c r="G25" s="1138">
        <v>5135</v>
      </c>
      <c r="H25" s="1138">
        <v>8690</v>
      </c>
      <c r="I25" s="1138">
        <v>8690</v>
      </c>
      <c r="J25" s="1138">
        <v>1028</v>
      </c>
      <c r="K25" s="1138"/>
      <c r="L25" s="1138"/>
    </row>
    <row r="26" spans="1:30" s="1151" customFormat="1" ht="42.6" hidden="1" customHeight="1">
      <c r="A26" s="1148"/>
      <c r="B26" s="1149" t="s">
        <v>1065</v>
      </c>
      <c r="C26" s="1150">
        <f>SUM(D26:L26)</f>
        <v>0</v>
      </c>
      <c r="D26" s="1150"/>
      <c r="E26" s="1150"/>
      <c r="F26" s="1150"/>
      <c r="G26" s="1150"/>
      <c r="H26" s="1150"/>
      <c r="I26" s="1150"/>
      <c r="J26" s="1150"/>
      <c r="K26" s="1150"/>
      <c r="L26" s="1150"/>
    </row>
    <row r="27" spans="1:30" s="1145" customFormat="1" ht="42.6" customHeight="1">
      <c r="A27" s="1142">
        <v>3</v>
      </c>
      <c r="B27" s="1143" t="s">
        <v>1070</v>
      </c>
      <c r="C27" s="1134">
        <f t="shared" ref="C27:L27" si="9">C28+C29</f>
        <v>24425</v>
      </c>
      <c r="D27" s="1134">
        <f t="shared" si="9"/>
        <v>3511</v>
      </c>
      <c r="E27" s="1134">
        <f t="shared" si="9"/>
        <v>3511</v>
      </c>
      <c r="F27" s="1134">
        <f t="shared" si="9"/>
        <v>3633</v>
      </c>
      <c r="G27" s="1134">
        <f t="shared" si="9"/>
        <v>2647</v>
      </c>
      <c r="H27" s="1134">
        <f t="shared" si="9"/>
        <v>4403</v>
      </c>
      <c r="I27" s="1134">
        <f t="shared" si="9"/>
        <v>4403</v>
      </c>
      <c r="J27" s="1134">
        <f t="shared" si="9"/>
        <v>854</v>
      </c>
      <c r="K27" s="1134">
        <f t="shared" si="9"/>
        <v>1463</v>
      </c>
      <c r="L27" s="1134">
        <f t="shared" si="9"/>
        <v>0</v>
      </c>
    </row>
    <row r="28" spans="1:30" s="1145" customFormat="1" ht="30.75" customHeight="1">
      <c r="A28" s="1142"/>
      <c r="B28" s="1147" t="s">
        <v>1062</v>
      </c>
      <c r="C28" s="1134">
        <f>SUM(D28:L28)</f>
        <v>24425</v>
      </c>
      <c r="D28" s="1134">
        <f t="shared" ref="D28:L28" si="10">D31+D34</f>
        <v>3511</v>
      </c>
      <c r="E28" s="1134">
        <f t="shared" si="10"/>
        <v>3511</v>
      </c>
      <c r="F28" s="1134">
        <f t="shared" si="10"/>
        <v>3633</v>
      </c>
      <c r="G28" s="1134">
        <f t="shared" si="10"/>
        <v>2647</v>
      </c>
      <c r="H28" s="1134">
        <f t="shared" si="10"/>
        <v>4403</v>
      </c>
      <c r="I28" s="1134">
        <f t="shared" si="10"/>
        <v>4403</v>
      </c>
      <c r="J28" s="1134">
        <f t="shared" si="10"/>
        <v>854</v>
      </c>
      <c r="K28" s="1134">
        <f t="shared" si="10"/>
        <v>1463</v>
      </c>
      <c r="L28" s="1134">
        <f t="shared" si="10"/>
        <v>0</v>
      </c>
    </row>
    <row r="29" spans="1:30" s="1154" customFormat="1" ht="30.75" hidden="1" customHeight="1">
      <c r="A29" s="1152"/>
      <c r="B29" s="1149" t="s">
        <v>1065</v>
      </c>
      <c r="C29" s="1153">
        <f>SUM(D29:L29)</f>
        <v>0</v>
      </c>
      <c r="D29" s="1153">
        <f>D32+D35</f>
        <v>0</v>
      </c>
      <c r="E29" s="1153"/>
      <c r="F29" s="1153"/>
      <c r="G29" s="1153"/>
      <c r="H29" s="1153"/>
      <c r="I29" s="1153"/>
      <c r="J29" s="1153"/>
      <c r="K29" s="1153"/>
      <c r="L29" s="1153"/>
    </row>
    <row r="30" spans="1:30" s="1157" customFormat="1" ht="43.5" customHeight="1">
      <c r="A30" s="1155" t="s">
        <v>189</v>
      </c>
      <c r="B30" s="1156" t="s">
        <v>1071</v>
      </c>
      <c r="C30" s="1138">
        <f t="shared" ref="C30:L30" si="11">C31+C32</f>
        <v>19583</v>
      </c>
      <c r="D30" s="1138">
        <f t="shared" si="11"/>
        <v>2880</v>
      </c>
      <c r="E30" s="1138">
        <f t="shared" si="11"/>
        <v>2880</v>
      </c>
      <c r="F30" s="1138">
        <f t="shared" si="11"/>
        <v>2980</v>
      </c>
      <c r="G30" s="1138">
        <f t="shared" si="11"/>
        <v>2152</v>
      </c>
      <c r="H30" s="1138">
        <f t="shared" si="11"/>
        <v>3641</v>
      </c>
      <c r="I30" s="1138">
        <f t="shared" si="11"/>
        <v>3641</v>
      </c>
      <c r="J30" s="1138">
        <f t="shared" si="11"/>
        <v>430</v>
      </c>
      <c r="K30" s="1138">
        <f t="shared" si="11"/>
        <v>979</v>
      </c>
      <c r="L30" s="1138">
        <f t="shared" si="11"/>
        <v>0</v>
      </c>
    </row>
    <row r="31" spans="1:30" s="1157" customFormat="1" ht="30.75" customHeight="1">
      <c r="A31" s="1155"/>
      <c r="B31" s="1147" t="s">
        <v>1062</v>
      </c>
      <c r="C31" s="1138">
        <f>SUM(D31:L31)</f>
        <v>19583</v>
      </c>
      <c r="D31" s="1138">
        <v>2880</v>
      </c>
      <c r="E31" s="1138">
        <v>2880</v>
      </c>
      <c r="F31" s="1138">
        <v>2980</v>
      </c>
      <c r="G31" s="1138">
        <v>2152</v>
      </c>
      <c r="H31" s="1138">
        <v>3641</v>
      </c>
      <c r="I31" s="1138">
        <v>3641</v>
      </c>
      <c r="J31" s="1138">
        <v>430</v>
      </c>
      <c r="K31" s="1138">
        <v>979</v>
      </c>
      <c r="L31" s="1138"/>
    </row>
    <row r="32" spans="1:30" s="1157" customFormat="1" ht="30.75" hidden="1" customHeight="1">
      <c r="A32" s="1155"/>
      <c r="B32" s="1147" t="s">
        <v>1065</v>
      </c>
      <c r="C32" s="1138">
        <f>SUM(D32:L32)</f>
        <v>0</v>
      </c>
      <c r="D32" s="1138"/>
      <c r="E32" s="1138"/>
      <c r="F32" s="1138"/>
      <c r="G32" s="1138"/>
      <c r="H32" s="1138"/>
      <c r="I32" s="1138"/>
      <c r="J32" s="1138"/>
      <c r="K32" s="1138"/>
      <c r="L32" s="1138"/>
    </row>
    <row r="33" spans="1:45" s="1157" customFormat="1" ht="30.75" customHeight="1">
      <c r="A33" s="1155" t="s">
        <v>190</v>
      </c>
      <c r="B33" s="1156" t="s">
        <v>1072</v>
      </c>
      <c r="C33" s="1138">
        <f t="shared" ref="C33:L33" si="12">C34+C35</f>
        <v>4842</v>
      </c>
      <c r="D33" s="1138">
        <f t="shared" si="12"/>
        <v>631</v>
      </c>
      <c r="E33" s="1138">
        <f t="shared" si="12"/>
        <v>631</v>
      </c>
      <c r="F33" s="1138">
        <f t="shared" si="12"/>
        <v>653</v>
      </c>
      <c r="G33" s="1138">
        <f t="shared" si="12"/>
        <v>495</v>
      </c>
      <c r="H33" s="1138">
        <f t="shared" si="12"/>
        <v>762</v>
      </c>
      <c r="I33" s="1138">
        <f t="shared" si="12"/>
        <v>762</v>
      </c>
      <c r="J33" s="1138">
        <f t="shared" si="12"/>
        <v>424</v>
      </c>
      <c r="K33" s="1138">
        <f t="shared" si="12"/>
        <v>484</v>
      </c>
      <c r="L33" s="1138">
        <f t="shared" si="12"/>
        <v>0</v>
      </c>
    </row>
    <row r="34" spans="1:45" s="1157" customFormat="1" ht="30.75" customHeight="1">
      <c r="A34" s="1155"/>
      <c r="B34" s="1147" t="s">
        <v>1062</v>
      </c>
      <c r="C34" s="1138">
        <f>SUM(D34:L34)</f>
        <v>4842</v>
      </c>
      <c r="D34" s="1138">
        <v>631</v>
      </c>
      <c r="E34" s="1138">
        <v>631</v>
      </c>
      <c r="F34" s="1138">
        <v>653</v>
      </c>
      <c r="G34" s="1138">
        <v>495</v>
      </c>
      <c r="H34" s="1138">
        <v>762</v>
      </c>
      <c r="I34" s="1138">
        <v>762</v>
      </c>
      <c r="J34" s="1138">
        <v>424</v>
      </c>
      <c r="K34" s="1138">
        <v>484</v>
      </c>
      <c r="L34" s="1138"/>
    </row>
    <row r="35" spans="1:45" s="1159" customFormat="1" ht="30.75" hidden="1" customHeight="1">
      <c r="A35" s="1158"/>
      <c r="B35" s="1149" t="s">
        <v>1065</v>
      </c>
      <c r="C35" s="1150">
        <f>D35+E35+F35+G35+H35+I35+J35+K35+L35</f>
        <v>0</v>
      </c>
      <c r="D35" s="1150"/>
      <c r="E35" s="1150"/>
      <c r="F35" s="1150"/>
      <c r="G35" s="1150"/>
      <c r="H35" s="1150"/>
      <c r="I35" s="1150"/>
      <c r="J35" s="1150"/>
      <c r="K35" s="1150"/>
      <c r="L35" s="1150"/>
    </row>
    <row r="36" spans="1:45" s="1145" customFormat="1" ht="54" customHeight="1">
      <c r="A36" s="1142">
        <v>4</v>
      </c>
      <c r="B36" s="1143" t="s">
        <v>1073</v>
      </c>
      <c r="C36" s="1134">
        <f>D36+E36+F36+G36+H36+I36+J36+K36+L36</f>
        <v>62887</v>
      </c>
      <c r="D36" s="1134">
        <f t="shared" ref="D36:L36" si="13">D43+D50+D53</f>
        <v>5477</v>
      </c>
      <c r="E36" s="1134">
        <f t="shared" si="13"/>
        <v>5477</v>
      </c>
      <c r="F36" s="1134">
        <f t="shared" si="13"/>
        <v>4272</v>
      </c>
      <c r="G36" s="1134">
        <f t="shared" si="13"/>
        <v>3700</v>
      </c>
      <c r="H36" s="1134">
        <f t="shared" si="13"/>
        <v>4379</v>
      </c>
      <c r="I36" s="1134">
        <f t="shared" si="13"/>
        <v>4486</v>
      </c>
      <c r="J36" s="1134">
        <f t="shared" si="13"/>
        <v>1090</v>
      </c>
      <c r="K36" s="1134">
        <f t="shared" si="13"/>
        <v>8297</v>
      </c>
      <c r="L36" s="1134">
        <f t="shared" si="13"/>
        <v>25709</v>
      </c>
    </row>
    <row r="37" spans="1:45" s="1120" customFormat="1" ht="30" customHeight="1">
      <c r="A37" s="1146" t="s">
        <v>467</v>
      </c>
      <c r="B37" s="1147" t="s">
        <v>1068</v>
      </c>
      <c r="C37" s="1138">
        <f t="shared" ref="C37:L37" si="14">C38+C39</f>
        <v>62187</v>
      </c>
      <c r="D37" s="1138">
        <f t="shared" si="14"/>
        <v>5477</v>
      </c>
      <c r="E37" s="1138">
        <f t="shared" si="14"/>
        <v>5477</v>
      </c>
      <c r="F37" s="1138">
        <f t="shared" si="14"/>
        <v>4272</v>
      </c>
      <c r="G37" s="1138">
        <f t="shared" si="14"/>
        <v>3700</v>
      </c>
      <c r="H37" s="1138">
        <f t="shared" si="14"/>
        <v>4379</v>
      </c>
      <c r="I37" s="1138">
        <f t="shared" si="14"/>
        <v>4486</v>
      </c>
      <c r="J37" s="1138">
        <f t="shared" si="14"/>
        <v>1090</v>
      </c>
      <c r="K37" s="1138">
        <f t="shared" si="14"/>
        <v>8175</v>
      </c>
      <c r="L37" s="1138">
        <f t="shared" si="14"/>
        <v>25131</v>
      </c>
    </row>
    <row r="38" spans="1:45" s="1120" customFormat="1" ht="30" customHeight="1">
      <c r="A38" s="1146"/>
      <c r="B38" s="1137" t="s">
        <v>1063</v>
      </c>
      <c r="C38" s="1138">
        <f>C45+C55</f>
        <v>23331</v>
      </c>
      <c r="D38" s="1138"/>
      <c r="E38" s="1138"/>
      <c r="F38" s="1138"/>
      <c r="G38" s="1138"/>
      <c r="H38" s="1138"/>
      <c r="I38" s="1138"/>
      <c r="J38" s="1138"/>
      <c r="K38" s="1138">
        <f>K45+K55</f>
        <v>4065</v>
      </c>
      <c r="L38" s="1138">
        <f>L45+L55</f>
        <v>19266</v>
      </c>
    </row>
    <row r="39" spans="1:45" s="1120" customFormat="1" ht="30" customHeight="1">
      <c r="A39" s="1146"/>
      <c r="B39" s="1137" t="s">
        <v>1064</v>
      </c>
      <c r="C39" s="1138">
        <f t="shared" ref="C39:L39" si="15">C46+C51+C56</f>
        <v>38856</v>
      </c>
      <c r="D39" s="1138">
        <f t="shared" si="15"/>
        <v>5477</v>
      </c>
      <c r="E39" s="1138">
        <f t="shared" si="15"/>
        <v>5477</v>
      </c>
      <c r="F39" s="1138">
        <f t="shared" si="15"/>
        <v>4272</v>
      </c>
      <c r="G39" s="1138">
        <f t="shared" si="15"/>
        <v>3700</v>
      </c>
      <c r="H39" s="1138">
        <f t="shared" si="15"/>
        <v>4379</v>
      </c>
      <c r="I39" s="1138">
        <f t="shared" si="15"/>
        <v>4486</v>
      </c>
      <c r="J39" s="1138">
        <f t="shared" si="15"/>
        <v>1090</v>
      </c>
      <c r="K39" s="1138">
        <f t="shared" si="15"/>
        <v>4110</v>
      </c>
      <c r="L39" s="1138">
        <f t="shared" si="15"/>
        <v>5865</v>
      </c>
    </row>
    <row r="40" spans="1:45" s="1120" customFormat="1" ht="30" customHeight="1">
      <c r="A40" s="1146" t="s">
        <v>468</v>
      </c>
      <c r="B40" s="1137" t="s">
        <v>1065</v>
      </c>
      <c r="C40" s="1138">
        <f>C41+C42</f>
        <v>700</v>
      </c>
      <c r="D40" s="1138"/>
      <c r="E40" s="1138"/>
      <c r="F40" s="1138"/>
      <c r="G40" s="1138"/>
      <c r="H40" s="1138"/>
      <c r="I40" s="1138"/>
      <c r="J40" s="1138"/>
      <c r="K40" s="1138">
        <f>K41+K42</f>
        <v>122</v>
      </c>
      <c r="L40" s="1138">
        <f>L41+L42</f>
        <v>578</v>
      </c>
    </row>
    <row r="41" spans="1:45" s="1145" customFormat="1" ht="30" customHeight="1">
      <c r="A41" s="1142"/>
      <c r="B41" s="1137" t="s">
        <v>1063</v>
      </c>
      <c r="C41" s="1138">
        <f>C48+C58</f>
        <v>700</v>
      </c>
      <c r="D41" s="1138"/>
      <c r="E41" s="1138"/>
      <c r="F41" s="1138"/>
      <c r="G41" s="1138"/>
      <c r="H41" s="1138"/>
      <c r="I41" s="1138"/>
      <c r="J41" s="1138"/>
      <c r="K41" s="1138">
        <f>K48+K58</f>
        <v>122</v>
      </c>
      <c r="L41" s="1138">
        <v>578</v>
      </c>
    </row>
    <row r="42" spans="1:45" s="1154" customFormat="1" ht="30" hidden="1" customHeight="1">
      <c r="A42" s="1152"/>
      <c r="B42" s="1149" t="s">
        <v>1064</v>
      </c>
      <c r="C42" s="1150">
        <f t="shared" ref="C42:L42" si="16">C49+C52+C59</f>
        <v>0</v>
      </c>
      <c r="D42" s="1150">
        <f t="shared" si="16"/>
        <v>0</v>
      </c>
      <c r="E42" s="1150">
        <f t="shared" si="16"/>
        <v>0</v>
      </c>
      <c r="F42" s="1150">
        <f t="shared" si="16"/>
        <v>0</v>
      </c>
      <c r="G42" s="1150">
        <f t="shared" si="16"/>
        <v>0</v>
      </c>
      <c r="H42" s="1150">
        <f t="shared" si="16"/>
        <v>0</v>
      </c>
      <c r="I42" s="1150">
        <f t="shared" si="16"/>
        <v>0</v>
      </c>
      <c r="J42" s="1150">
        <f t="shared" si="16"/>
        <v>0</v>
      </c>
      <c r="K42" s="1150">
        <f t="shared" si="16"/>
        <v>0</v>
      </c>
      <c r="L42" s="1150">
        <f t="shared" si="16"/>
        <v>0</v>
      </c>
    </row>
    <row r="43" spans="1:45" s="1157" customFormat="1" ht="46.5" customHeight="1">
      <c r="A43" s="1155" t="s">
        <v>199</v>
      </c>
      <c r="B43" s="1156" t="s">
        <v>1074</v>
      </c>
      <c r="C43" s="1138">
        <f>D43+E43+F43+G43+H43+I43+J43+K43+L43</f>
        <v>49171</v>
      </c>
      <c r="D43" s="1138">
        <f t="shared" ref="D43:L43" si="17">D44+D47</f>
        <v>3890</v>
      </c>
      <c r="E43" s="1138">
        <f t="shared" si="17"/>
        <v>3890</v>
      </c>
      <c r="F43" s="1138">
        <f t="shared" si="17"/>
        <v>3614</v>
      </c>
      <c r="G43" s="1138">
        <f t="shared" si="17"/>
        <v>3148</v>
      </c>
      <c r="H43" s="1138">
        <f t="shared" si="17"/>
        <v>3772</v>
      </c>
      <c r="I43" s="1138">
        <f t="shared" si="17"/>
        <v>3875</v>
      </c>
      <c r="J43" s="1138">
        <f t="shared" si="17"/>
        <v>979</v>
      </c>
      <c r="K43" s="1138">
        <f t="shared" si="17"/>
        <v>294</v>
      </c>
      <c r="L43" s="1138">
        <f t="shared" si="17"/>
        <v>25709</v>
      </c>
      <c r="AS43" s="1160"/>
    </row>
    <row r="44" spans="1:45" s="1157" customFormat="1" ht="40.5" customHeight="1">
      <c r="A44" s="1146" t="s">
        <v>467</v>
      </c>
      <c r="B44" s="1147" t="s">
        <v>1068</v>
      </c>
      <c r="C44" s="1138">
        <f t="shared" ref="C44:L44" si="18">C45+C46</f>
        <v>48593</v>
      </c>
      <c r="D44" s="1138">
        <f t="shared" si="18"/>
        <v>3890</v>
      </c>
      <c r="E44" s="1138">
        <f t="shared" si="18"/>
        <v>3890</v>
      </c>
      <c r="F44" s="1138">
        <f t="shared" si="18"/>
        <v>3614</v>
      </c>
      <c r="G44" s="1138">
        <f t="shared" si="18"/>
        <v>3148</v>
      </c>
      <c r="H44" s="1138">
        <f t="shared" si="18"/>
        <v>3772</v>
      </c>
      <c r="I44" s="1138">
        <f t="shared" si="18"/>
        <v>3875</v>
      </c>
      <c r="J44" s="1138">
        <f t="shared" si="18"/>
        <v>979</v>
      </c>
      <c r="K44" s="1138">
        <f t="shared" si="18"/>
        <v>294</v>
      </c>
      <c r="L44" s="1138">
        <f t="shared" si="18"/>
        <v>25131</v>
      </c>
    </row>
    <row r="45" spans="1:45" s="1157" customFormat="1" ht="40.5" customHeight="1">
      <c r="A45" s="1146"/>
      <c r="B45" s="1137" t="s">
        <v>1063</v>
      </c>
      <c r="C45" s="1138">
        <f>SUM(D45:L45)</f>
        <v>19266</v>
      </c>
      <c r="D45" s="1138"/>
      <c r="E45" s="1138"/>
      <c r="F45" s="1138"/>
      <c r="G45" s="1138"/>
      <c r="H45" s="1138"/>
      <c r="I45" s="1138"/>
      <c r="J45" s="1138"/>
      <c r="K45" s="1138"/>
      <c r="L45" s="1138">
        <v>19266</v>
      </c>
    </row>
    <row r="46" spans="1:45" s="1157" customFormat="1" ht="40.5" customHeight="1">
      <c r="A46" s="1146"/>
      <c r="B46" s="1137" t="s">
        <v>1064</v>
      </c>
      <c r="C46" s="1138">
        <f>SUM(D46:L46)</f>
        <v>29327</v>
      </c>
      <c r="D46" s="1138">
        <v>3890</v>
      </c>
      <c r="E46" s="1138">
        <v>3890</v>
      </c>
      <c r="F46" s="1138">
        <v>3614</v>
      </c>
      <c r="G46" s="1138">
        <v>3148</v>
      </c>
      <c r="H46" s="1138">
        <v>3772</v>
      </c>
      <c r="I46" s="1138">
        <v>3875</v>
      </c>
      <c r="J46" s="1138">
        <v>979</v>
      </c>
      <c r="K46" s="1138">
        <v>294</v>
      </c>
      <c r="L46" s="1138">
        <v>5865</v>
      </c>
    </row>
    <row r="47" spans="1:45" s="1159" customFormat="1" ht="40.5" customHeight="1">
      <c r="A47" s="1148" t="s">
        <v>468</v>
      </c>
      <c r="B47" s="1149" t="s">
        <v>1065</v>
      </c>
      <c r="C47" s="1150">
        <f>C48+C49</f>
        <v>578</v>
      </c>
      <c r="D47" s="1150"/>
      <c r="E47" s="1150"/>
      <c r="F47" s="1150"/>
      <c r="G47" s="1150"/>
      <c r="H47" s="1150"/>
      <c r="I47" s="1150"/>
      <c r="J47" s="1150"/>
      <c r="K47" s="1150"/>
      <c r="L47" s="1150">
        <f>L48+L49</f>
        <v>578</v>
      </c>
    </row>
    <row r="48" spans="1:45" s="1159" customFormat="1" ht="40.5" customHeight="1">
      <c r="A48" s="1152"/>
      <c r="B48" s="1149" t="s">
        <v>1063</v>
      </c>
      <c r="C48" s="1150">
        <f>SUM(D48:L48)</f>
        <v>578</v>
      </c>
      <c r="D48" s="1150"/>
      <c r="E48" s="1150"/>
      <c r="F48" s="1150"/>
      <c r="G48" s="1150"/>
      <c r="H48" s="1150"/>
      <c r="I48" s="1150"/>
      <c r="J48" s="1150"/>
      <c r="K48" s="1150"/>
      <c r="L48" s="1161">
        <v>578</v>
      </c>
    </row>
    <row r="49" spans="1:48" s="1159" customFormat="1" ht="40.5" hidden="1" customHeight="1">
      <c r="A49" s="1152"/>
      <c r="B49" s="1149" t="s">
        <v>1064</v>
      </c>
      <c r="C49" s="1150">
        <f>SUM(D49:L49)</f>
        <v>0</v>
      </c>
      <c r="D49" s="1150"/>
      <c r="E49" s="1150"/>
      <c r="F49" s="1150"/>
      <c r="G49" s="1150"/>
      <c r="H49" s="1150"/>
      <c r="I49" s="1150"/>
      <c r="J49" s="1150"/>
      <c r="K49" s="1150"/>
      <c r="L49" s="1150"/>
    </row>
    <row r="50" spans="1:48" s="1157" customFormat="1" ht="45.75" customHeight="1">
      <c r="A50" s="1155" t="s">
        <v>491</v>
      </c>
      <c r="B50" s="1156" t="s">
        <v>1075</v>
      </c>
      <c r="C50" s="1138">
        <f>C51+C52</f>
        <v>1898</v>
      </c>
      <c r="D50" s="1138">
        <f>D51+D52</f>
        <v>949</v>
      </c>
      <c r="E50" s="1138">
        <f>E51+E52</f>
        <v>949</v>
      </c>
      <c r="F50" s="1138"/>
      <c r="G50" s="1138"/>
      <c r="H50" s="1138"/>
      <c r="I50" s="1138"/>
      <c r="J50" s="1138"/>
      <c r="K50" s="1138"/>
      <c r="L50" s="1138"/>
      <c r="S50" s="1157">
        <v>371.08131672597864</v>
      </c>
    </row>
    <row r="51" spans="1:48" s="1157" customFormat="1" ht="30" customHeight="1">
      <c r="A51" s="1155"/>
      <c r="B51" s="1156" t="s">
        <v>1062</v>
      </c>
      <c r="C51" s="1138">
        <f>SUM(D51:L51)</f>
        <v>1898</v>
      </c>
      <c r="D51" s="1138">
        <v>949</v>
      </c>
      <c r="E51" s="1138">
        <v>949</v>
      </c>
      <c r="F51" s="1162"/>
      <c r="G51" s="1138"/>
      <c r="H51" s="1138"/>
      <c r="I51" s="1138"/>
      <c r="J51" s="1138"/>
      <c r="K51" s="1138"/>
      <c r="L51" s="1138"/>
    </row>
    <row r="52" spans="1:48" s="1159" customFormat="1" ht="30" hidden="1" customHeight="1">
      <c r="A52" s="1158"/>
      <c r="B52" s="1163" t="s">
        <v>1065</v>
      </c>
      <c r="C52" s="1150"/>
      <c r="D52" s="1150"/>
      <c r="E52" s="1150"/>
      <c r="F52" s="1164"/>
      <c r="G52" s="1150"/>
      <c r="H52" s="1150"/>
      <c r="I52" s="1150"/>
      <c r="J52" s="1150"/>
      <c r="K52" s="1150"/>
      <c r="L52" s="1150"/>
    </row>
    <row r="53" spans="1:48" s="1157" customFormat="1" ht="30" customHeight="1">
      <c r="A53" s="1155" t="s">
        <v>492</v>
      </c>
      <c r="B53" s="1156" t="s">
        <v>1076</v>
      </c>
      <c r="C53" s="1138">
        <f t="shared" ref="C53:K53" si="19">C54+C57</f>
        <v>11818</v>
      </c>
      <c r="D53" s="1138">
        <f t="shared" si="19"/>
        <v>638</v>
      </c>
      <c r="E53" s="1138">
        <f t="shared" si="19"/>
        <v>638</v>
      </c>
      <c r="F53" s="1138">
        <f t="shared" si="19"/>
        <v>658</v>
      </c>
      <c r="G53" s="1138">
        <f t="shared" si="19"/>
        <v>552</v>
      </c>
      <c r="H53" s="1138">
        <f t="shared" si="19"/>
        <v>607</v>
      </c>
      <c r="I53" s="1138">
        <f t="shared" si="19"/>
        <v>611</v>
      </c>
      <c r="J53" s="1138">
        <f t="shared" si="19"/>
        <v>111</v>
      </c>
      <c r="K53" s="1138">
        <f t="shared" si="19"/>
        <v>8003</v>
      </c>
      <c r="L53" s="1138"/>
      <c r="S53" s="1157">
        <v>371.08131672597864</v>
      </c>
      <c r="AE53" s="1454" t="s">
        <v>1077</v>
      </c>
      <c r="AF53" s="1454"/>
      <c r="AG53" s="1454"/>
      <c r="AH53" s="1453" t="s">
        <v>1078</v>
      </c>
      <c r="AI53" s="1453"/>
      <c r="AJ53" s="1453"/>
      <c r="AK53" s="1453" t="s">
        <v>102</v>
      </c>
      <c r="AL53" s="1453"/>
      <c r="AM53" s="1453"/>
      <c r="AN53" s="1453" t="s">
        <v>1079</v>
      </c>
      <c r="AO53" s="1453"/>
      <c r="AP53" s="1453"/>
      <c r="AQ53" s="1453" t="s">
        <v>1078</v>
      </c>
      <c r="AR53" s="1453"/>
      <c r="AS53" s="1453"/>
      <c r="AT53" s="1453" t="s">
        <v>102</v>
      </c>
      <c r="AU53" s="1453"/>
      <c r="AV53" s="1453"/>
    </row>
    <row r="54" spans="1:48" s="1157" customFormat="1" ht="30" customHeight="1">
      <c r="A54" s="1146" t="s">
        <v>467</v>
      </c>
      <c r="B54" s="1147" t="s">
        <v>1068</v>
      </c>
      <c r="C54" s="1138">
        <f t="shared" ref="C54:K54" si="20">C55+C56</f>
        <v>11696</v>
      </c>
      <c r="D54" s="1138">
        <f t="shared" si="20"/>
        <v>638</v>
      </c>
      <c r="E54" s="1138">
        <f t="shared" si="20"/>
        <v>638</v>
      </c>
      <c r="F54" s="1138">
        <f t="shared" si="20"/>
        <v>658</v>
      </c>
      <c r="G54" s="1138">
        <f t="shared" si="20"/>
        <v>552</v>
      </c>
      <c r="H54" s="1138">
        <f t="shared" si="20"/>
        <v>607</v>
      </c>
      <c r="I54" s="1138">
        <f t="shared" si="20"/>
        <v>611</v>
      </c>
      <c r="J54" s="1138">
        <f t="shared" si="20"/>
        <v>111</v>
      </c>
      <c r="K54" s="1138">
        <f t="shared" si="20"/>
        <v>7881</v>
      </c>
      <c r="L54" s="1138"/>
      <c r="AE54" s="1165"/>
      <c r="AF54" s="1165"/>
      <c r="AG54" s="1165"/>
      <c r="AH54" s="1166"/>
      <c r="AI54" s="1166"/>
      <c r="AJ54" s="1166"/>
      <c r="AK54" s="1166"/>
      <c r="AL54" s="1166"/>
      <c r="AM54" s="1166"/>
      <c r="AN54" s="1166"/>
      <c r="AO54" s="1166"/>
      <c r="AP54" s="1166"/>
      <c r="AQ54" s="1166"/>
      <c r="AR54" s="1166"/>
      <c r="AS54" s="1166"/>
      <c r="AT54" s="1166"/>
      <c r="AU54" s="1166"/>
      <c r="AV54" s="1166"/>
    </row>
    <row r="55" spans="1:48" s="1157" customFormat="1" ht="30" customHeight="1">
      <c r="A55" s="1146"/>
      <c r="B55" s="1137" t="s">
        <v>1063</v>
      </c>
      <c r="C55" s="1138">
        <f>SUM(D55:L55)</f>
        <v>4065</v>
      </c>
      <c r="D55" s="1138"/>
      <c r="E55" s="1138"/>
      <c r="F55" s="1138"/>
      <c r="G55" s="1138"/>
      <c r="H55" s="1138"/>
      <c r="I55" s="1138"/>
      <c r="J55" s="1138"/>
      <c r="K55" s="1138">
        <v>4065</v>
      </c>
      <c r="L55" s="1138"/>
      <c r="AE55" s="1165"/>
      <c r="AF55" s="1165"/>
      <c r="AG55" s="1165"/>
      <c r="AH55" s="1166"/>
      <c r="AI55" s="1166"/>
      <c r="AJ55" s="1166"/>
      <c r="AK55" s="1166"/>
      <c r="AL55" s="1166"/>
      <c r="AM55" s="1166"/>
      <c r="AN55" s="1166"/>
      <c r="AO55" s="1166"/>
      <c r="AP55" s="1166"/>
      <c r="AQ55" s="1166"/>
      <c r="AR55" s="1166"/>
      <c r="AS55" s="1166"/>
      <c r="AT55" s="1166"/>
      <c r="AU55" s="1166"/>
      <c r="AV55" s="1166"/>
    </row>
    <row r="56" spans="1:48" s="1157" customFormat="1" ht="30" customHeight="1">
      <c r="A56" s="1146"/>
      <c r="B56" s="1137" t="s">
        <v>1064</v>
      </c>
      <c r="C56" s="1138">
        <f>SUM(D56:L56)</f>
        <v>7631</v>
      </c>
      <c r="D56" s="1138">
        <v>638</v>
      </c>
      <c r="E56" s="1138">
        <v>638</v>
      </c>
      <c r="F56" s="1138">
        <v>658</v>
      </c>
      <c r="G56" s="1138">
        <v>552</v>
      </c>
      <c r="H56" s="1138">
        <v>607</v>
      </c>
      <c r="I56" s="1138">
        <v>611</v>
      </c>
      <c r="J56" s="1138">
        <v>111</v>
      </c>
      <c r="K56" s="1138">
        <v>3816</v>
      </c>
      <c r="L56" s="1138"/>
      <c r="AE56" s="1165"/>
      <c r="AF56" s="1165"/>
      <c r="AG56" s="1165"/>
      <c r="AH56" s="1166"/>
      <c r="AI56" s="1166"/>
      <c r="AJ56" s="1166"/>
      <c r="AK56" s="1166"/>
      <c r="AL56" s="1166"/>
      <c r="AM56" s="1166"/>
      <c r="AN56" s="1166"/>
      <c r="AO56" s="1166"/>
      <c r="AP56" s="1166"/>
      <c r="AQ56" s="1166"/>
      <c r="AR56" s="1166"/>
      <c r="AS56" s="1166"/>
      <c r="AT56" s="1166"/>
      <c r="AU56" s="1166"/>
      <c r="AV56" s="1166"/>
    </row>
    <row r="57" spans="1:48" s="1157" customFormat="1" ht="30" customHeight="1">
      <c r="A57" s="1146" t="s">
        <v>468</v>
      </c>
      <c r="B57" s="1137" t="s">
        <v>1065</v>
      </c>
      <c r="C57" s="1138">
        <f>SUM(D57:L57)</f>
        <v>122</v>
      </c>
      <c r="D57" s="1138"/>
      <c r="E57" s="1138"/>
      <c r="F57" s="1138"/>
      <c r="G57" s="1138"/>
      <c r="H57" s="1138"/>
      <c r="I57" s="1138"/>
      <c r="J57" s="1138"/>
      <c r="K57" s="1138">
        <f>K58+K59</f>
        <v>122</v>
      </c>
      <c r="L57" s="1138"/>
      <c r="AE57" s="1165"/>
      <c r="AF57" s="1165"/>
      <c r="AG57" s="1165"/>
      <c r="AH57" s="1166"/>
      <c r="AI57" s="1166"/>
      <c r="AJ57" s="1166"/>
      <c r="AK57" s="1166"/>
      <c r="AL57" s="1166"/>
      <c r="AM57" s="1166"/>
      <c r="AN57" s="1166"/>
      <c r="AO57" s="1166"/>
      <c r="AP57" s="1166"/>
      <c r="AQ57" s="1166"/>
      <c r="AR57" s="1166"/>
      <c r="AS57" s="1166"/>
      <c r="AT57" s="1166"/>
      <c r="AU57" s="1166"/>
      <c r="AV57" s="1166"/>
    </row>
    <row r="58" spans="1:48" s="1157" customFormat="1" ht="30" customHeight="1">
      <c r="A58" s="1142"/>
      <c r="B58" s="1137" t="s">
        <v>1063</v>
      </c>
      <c r="C58" s="1138">
        <f>SUM(D58:L58)</f>
        <v>122</v>
      </c>
      <c r="D58" s="1138"/>
      <c r="E58" s="1138"/>
      <c r="F58" s="1138"/>
      <c r="G58" s="1138"/>
      <c r="H58" s="1138"/>
      <c r="I58" s="1138"/>
      <c r="J58" s="1138"/>
      <c r="K58" s="1161">
        <v>122</v>
      </c>
      <c r="L58" s="1161"/>
      <c r="AE58" s="1165"/>
      <c r="AF58" s="1165"/>
      <c r="AG58" s="1165"/>
      <c r="AH58" s="1166"/>
      <c r="AI58" s="1166"/>
      <c r="AJ58" s="1166"/>
      <c r="AK58" s="1166"/>
      <c r="AL58" s="1166"/>
      <c r="AM58" s="1166"/>
      <c r="AN58" s="1166"/>
      <c r="AO58" s="1166"/>
      <c r="AP58" s="1166"/>
      <c r="AQ58" s="1166"/>
      <c r="AR58" s="1166"/>
      <c r="AS58" s="1166"/>
      <c r="AT58" s="1166"/>
      <c r="AU58" s="1166"/>
      <c r="AV58" s="1166"/>
    </row>
    <row r="59" spans="1:48" s="1159" customFormat="1" ht="30" hidden="1" customHeight="1">
      <c r="A59" s="1152"/>
      <c r="B59" s="1149" t="s">
        <v>1064</v>
      </c>
      <c r="C59" s="1150">
        <f>SUM(D59:L59)</f>
        <v>0</v>
      </c>
      <c r="D59" s="1150"/>
      <c r="E59" s="1150"/>
      <c r="F59" s="1150"/>
      <c r="G59" s="1150"/>
      <c r="H59" s="1150"/>
      <c r="I59" s="1150"/>
      <c r="J59" s="1150"/>
      <c r="K59" s="1150"/>
      <c r="L59" s="1150"/>
      <c r="AE59" s="1167"/>
      <c r="AF59" s="1167"/>
      <c r="AG59" s="1167"/>
      <c r="AH59" s="1168"/>
      <c r="AI59" s="1168"/>
      <c r="AJ59" s="1168"/>
      <c r="AK59" s="1168"/>
      <c r="AL59" s="1168"/>
      <c r="AM59" s="1168"/>
      <c r="AN59" s="1168"/>
      <c r="AO59" s="1168"/>
      <c r="AP59" s="1168"/>
      <c r="AQ59" s="1168"/>
      <c r="AR59" s="1168"/>
      <c r="AS59" s="1168"/>
      <c r="AT59" s="1168"/>
      <c r="AU59" s="1168"/>
      <c r="AV59" s="1168"/>
    </row>
    <row r="60" spans="1:48" s="1145" customFormat="1" ht="51" customHeight="1">
      <c r="A60" s="1142">
        <v>5</v>
      </c>
      <c r="B60" s="1143" t="s">
        <v>1080</v>
      </c>
      <c r="C60" s="1134">
        <f>D60+E60+F60+G60+H60+I60+J60+K60+L60</f>
        <v>15425</v>
      </c>
      <c r="D60" s="1134">
        <f>D61+D62</f>
        <v>9325</v>
      </c>
      <c r="E60" s="1134">
        <f>E61+E62</f>
        <v>6100</v>
      </c>
      <c r="F60" s="1134"/>
      <c r="G60" s="1134"/>
      <c r="H60" s="1134"/>
      <c r="I60" s="1134"/>
      <c r="J60" s="1134"/>
      <c r="K60" s="1134"/>
      <c r="L60" s="1134"/>
      <c r="S60" s="1145">
        <v>383.87722419928821</v>
      </c>
      <c r="AF60" s="1120" t="s">
        <v>521</v>
      </c>
      <c r="AG60" s="1120" t="s">
        <v>503</v>
      </c>
      <c r="AI60" s="1120" t="s">
        <v>521</v>
      </c>
      <c r="AJ60" s="1120" t="s">
        <v>503</v>
      </c>
      <c r="AK60" s="1120"/>
      <c r="AL60" s="1120" t="s">
        <v>521</v>
      </c>
      <c r="AM60" s="1120" t="s">
        <v>503</v>
      </c>
      <c r="AO60" s="1120" t="s">
        <v>521</v>
      </c>
      <c r="AP60" s="1120" t="s">
        <v>503</v>
      </c>
      <c r="AR60" s="1120" t="s">
        <v>521</v>
      </c>
      <c r="AS60" s="1120" t="s">
        <v>503</v>
      </c>
      <c r="AT60" s="1120"/>
      <c r="AU60" s="1120" t="s">
        <v>521</v>
      </c>
      <c r="AV60" s="1120" t="s">
        <v>503</v>
      </c>
    </row>
    <row r="61" spans="1:48" s="1120" customFormat="1" ht="39" customHeight="1">
      <c r="A61" s="1146"/>
      <c r="B61" s="1147" t="s">
        <v>1062</v>
      </c>
      <c r="C61" s="1138">
        <f>SUM(D61:L61)</f>
        <v>12340</v>
      </c>
      <c r="D61" s="1138">
        <v>7460</v>
      </c>
      <c r="E61" s="1138">
        <v>4880</v>
      </c>
      <c r="F61" s="1138"/>
      <c r="G61" s="1138"/>
      <c r="H61" s="1138"/>
      <c r="I61" s="1138"/>
      <c r="J61" s="1138"/>
      <c r="K61" s="1138"/>
      <c r="L61" s="1138"/>
    </row>
    <row r="62" spans="1:48" s="1120" customFormat="1" ht="37.5" customHeight="1">
      <c r="A62" s="1146"/>
      <c r="B62" s="1147" t="s">
        <v>1065</v>
      </c>
      <c r="C62" s="1138">
        <f>SUM(D62:L62)</f>
        <v>3085</v>
      </c>
      <c r="D62" s="1138">
        <v>1865</v>
      </c>
      <c r="E62" s="1138">
        <v>1220</v>
      </c>
      <c r="F62" s="1138"/>
      <c r="G62" s="1138"/>
      <c r="H62" s="1138"/>
      <c r="I62" s="1138"/>
      <c r="J62" s="1138"/>
      <c r="K62" s="1138"/>
      <c r="L62" s="1138"/>
    </row>
    <row r="63" spans="1:48" s="1145" customFormat="1" ht="33.75" customHeight="1">
      <c r="A63" s="1142">
        <v>6</v>
      </c>
      <c r="B63" s="1143" t="s">
        <v>1081</v>
      </c>
      <c r="C63" s="1134">
        <f>D63+E63+F63+G63+H63+I63+J63+K63+L63</f>
        <v>6173</v>
      </c>
      <c r="D63" s="1134">
        <f t="shared" ref="D63:K63" si="21">D64+D65</f>
        <v>741</v>
      </c>
      <c r="E63" s="1134">
        <f t="shared" si="21"/>
        <v>741</v>
      </c>
      <c r="F63" s="1134">
        <f t="shared" si="21"/>
        <v>766</v>
      </c>
      <c r="G63" s="1134">
        <f t="shared" si="21"/>
        <v>554</v>
      </c>
      <c r="H63" s="1134">
        <f t="shared" si="21"/>
        <v>937</v>
      </c>
      <c r="I63" s="1134">
        <f t="shared" si="21"/>
        <v>937</v>
      </c>
      <c r="J63" s="1134">
        <f t="shared" si="21"/>
        <v>114</v>
      </c>
      <c r="K63" s="1134">
        <f t="shared" si="21"/>
        <v>1383</v>
      </c>
      <c r="L63" s="1134"/>
      <c r="S63" s="1145">
        <v>277.2446619217082</v>
      </c>
      <c r="AE63" s="1145">
        <f>AF63+AG63</f>
        <v>425</v>
      </c>
      <c r="AF63" s="1145">
        <f>AI63+AL63</f>
        <v>192</v>
      </c>
      <c r="AG63" s="1145">
        <f>AJ63+AM63</f>
        <v>233</v>
      </c>
      <c r="AH63" s="1145">
        <f>SUM(AI63:AJ63)</f>
        <v>162</v>
      </c>
      <c r="AI63" s="1145">
        <v>82</v>
      </c>
      <c r="AJ63" s="1145">
        <v>80</v>
      </c>
      <c r="AK63" s="1145">
        <f>SUM(AL63:AM63)</f>
        <v>263</v>
      </c>
      <c r="AL63" s="1145">
        <v>110</v>
      </c>
      <c r="AM63" s="1145">
        <v>153</v>
      </c>
      <c r="AN63" s="1145">
        <f>AO63+AP63</f>
        <v>12340</v>
      </c>
      <c r="AO63" s="1145">
        <f>AR63+AU63</f>
        <v>7680</v>
      </c>
      <c r="AP63" s="1145">
        <f>AS63+AV63</f>
        <v>4660</v>
      </c>
      <c r="AQ63" s="1145">
        <f>AR63+AS63</f>
        <v>4880</v>
      </c>
      <c r="AR63" s="1145">
        <f>AI63*40</f>
        <v>3280</v>
      </c>
      <c r="AS63" s="1145">
        <f>AJ63*20</f>
        <v>1600</v>
      </c>
      <c r="AT63" s="1145">
        <f>AU63+AV63</f>
        <v>7460</v>
      </c>
      <c r="AU63" s="1145">
        <f>AL63*40</f>
        <v>4400</v>
      </c>
      <c r="AV63" s="1145">
        <f>AM63*20</f>
        <v>3060</v>
      </c>
    </row>
    <row r="64" spans="1:48" s="1145" customFormat="1" ht="30" customHeight="1">
      <c r="A64" s="1142"/>
      <c r="B64" s="1147" t="s">
        <v>1062</v>
      </c>
      <c r="C64" s="1134">
        <f t="shared" ref="C64:K65" si="22">C67+C70</f>
        <v>6173</v>
      </c>
      <c r="D64" s="1134">
        <f t="shared" si="22"/>
        <v>741</v>
      </c>
      <c r="E64" s="1134">
        <f t="shared" si="22"/>
        <v>741</v>
      </c>
      <c r="F64" s="1134">
        <f t="shared" si="22"/>
        <v>766</v>
      </c>
      <c r="G64" s="1134">
        <f t="shared" si="22"/>
        <v>554</v>
      </c>
      <c r="H64" s="1134">
        <f t="shared" si="22"/>
        <v>937</v>
      </c>
      <c r="I64" s="1134">
        <f t="shared" si="22"/>
        <v>937</v>
      </c>
      <c r="J64" s="1134">
        <f t="shared" si="22"/>
        <v>114</v>
      </c>
      <c r="K64" s="1134">
        <f t="shared" si="22"/>
        <v>1383</v>
      </c>
      <c r="L64" s="1134"/>
    </row>
    <row r="65" spans="1:19" s="1145" customFormat="1" ht="30" hidden="1" customHeight="1">
      <c r="A65" s="1142"/>
      <c r="B65" s="1147" t="s">
        <v>1065</v>
      </c>
      <c r="C65" s="1134">
        <f t="shared" si="22"/>
        <v>0</v>
      </c>
      <c r="D65" s="1134">
        <f t="shared" si="22"/>
        <v>0</v>
      </c>
      <c r="E65" s="1134">
        <f t="shared" si="22"/>
        <v>0</v>
      </c>
      <c r="F65" s="1134">
        <f t="shared" si="22"/>
        <v>0</v>
      </c>
      <c r="G65" s="1134">
        <f t="shared" si="22"/>
        <v>0</v>
      </c>
      <c r="H65" s="1134">
        <f t="shared" si="22"/>
        <v>0</v>
      </c>
      <c r="I65" s="1134">
        <f t="shared" si="22"/>
        <v>0</v>
      </c>
      <c r="J65" s="1134">
        <f t="shared" si="22"/>
        <v>0</v>
      </c>
      <c r="K65" s="1134">
        <f t="shared" si="22"/>
        <v>0</v>
      </c>
      <c r="L65" s="1134"/>
    </row>
    <row r="66" spans="1:19" s="1157" customFormat="1" ht="30" customHeight="1">
      <c r="A66" s="1155" t="s">
        <v>193</v>
      </c>
      <c r="B66" s="1156" t="s">
        <v>1082</v>
      </c>
      <c r="C66" s="1138">
        <f t="shared" ref="C66:C76" si="23">D66+E66+F66+G66+H66+I66+J66+K66+L66</f>
        <v>2446</v>
      </c>
      <c r="D66" s="1138">
        <f t="shared" ref="D66:K66" si="24">D67+D68</f>
        <v>370</v>
      </c>
      <c r="E66" s="1138">
        <f t="shared" si="24"/>
        <v>370</v>
      </c>
      <c r="F66" s="1138">
        <f t="shared" si="24"/>
        <v>383</v>
      </c>
      <c r="G66" s="1138">
        <f t="shared" si="24"/>
        <v>277</v>
      </c>
      <c r="H66" s="1138">
        <f t="shared" si="24"/>
        <v>468</v>
      </c>
      <c r="I66" s="1138">
        <f t="shared" si="24"/>
        <v>468</v>
      </c>
      <c r="J66" s="1138">
        <f t="shared" si="24"/>
        <v>57</v>
      </c>
      <c r="K66" s="1138">
        <f t="shared" si="24"/>
        <v>53</v>
      </c>
      <c r="L66" s="1138"/>
      <c r="S66" s="1157">
        <v>469.1832740213523</v>
      </c>
    </row>
    <row r="67" spans="1:19" s="1157" customFormat="1" ht="30" customHeight="1">
      <c r="A67" s="1155"/>
      <c r="B67" s="1147" t="s">
        <v>1062</v>
      </c>
      <c r="C67" s="1138">
        <f t="shared" si="23"/>
        <v>2446</v>
      </c>
      <c r="D67" s="1138">
        <v>370</v>
      </c>
      <c r="E67" s="1138">
        <v>370</v>
      </c>
      <c r="F67" s="1138">
        <v>383</v>
      </c>
      <c r="G67" s="1138">
        <v>277</v>
      </c>
      <c r="H67" s="1138">
        <v>468</v>
      </c>
      <c r="I67" s="1138">
        <v>468</v>
      </c>
      <c r="J67" s="1138">
        <v>57</v>
      </c>
      <c r="K67" s="1138">
        <v>53</v>
      </c>
      <c r="L67" s="1138"/>
    </row>
    <row r="68" spans="1:19" s="1159" customFormat="1" ht="30" hidden="1" customHeight="1">
      <c r="A68" s="1158"/>
      <c r="B68" s="1149" t="s">
        <v>1065</v>
      </c>
      <c r="C68" s="1150">
        <f t="shared" si="23"/>
        <v>0</v>
      </c>
      <c r="D68" s="1150"/>
      <c r="E68" s="1150"/>
      <c r="F68" s="1150"/>
      <c r="G68" s="1150"/>
      <c r="H68" s="1150"/>
      <c r="I68" s="1150"/>
      <c r="J68" s="1150"/>
      <c r="K68" s="1150"/>
      <c r="L68" s="1150"/>
    </row>
    <row r="69" spans="1:19" s="1157" customFormat="1" ht="30" customHeight="1">
      <c r="A69" s="1155" t="s">
        <v>504</v>
      </c>
      <c r="B69" s="1156" t="s">
        <v>1083</v>
      </c>
      <c r="C69" s="1138">
        <f t="shared" si="23"/>
        <v>3727</v>
      </c>
      <c r="D69" s="1138">
        <f t="shared" ref="D69:K69" si="25">D70+D71</f>
        <v>371</v>
      </c>
      <c r="E69" s="1138">
        <f t="shared" si="25"/>
        <v>371</v>
      </c>
      <c r="F69" s="1138">
        <f t="shared" si="25"/>
        <v>383</v>
      </c>
      <c r="G69" s="1138">
        <f t="shared" si="25"/>
        <v>277</v>
      </c>
      <c r="H69" s="1138">
        <f t="shared" si="25"/>
        <v>469</v>
      </c>
      <c r="I69" s="1138">
        <f t="shared" si="25"/>
        <v>469</v>
      </c>
      <c r="J69" s="1138">
        <f t="shared" si="25"/>
        <v>57</v>
      </c>
      <c r="K69" s="1138">
        <f t="shared" si="25"/>
        <v>1330</v>
      </c>
      <c r="L69" s="1138"/>
      <c r="M69" s="1157">
        <v>2772</v>
      </c>
      <c r="S69" s="1157">
        <v>469.1832740213523</v>
      </c>
    </row>
    <row r="70" spans="1:19" s="1157" customFormat="1" ht="30" customHeight="1">
      <c r="A70" s="1155"/>
      <c r="B70" s="1147" t="s">
        <v>1062</v>
      </c>
      <c r="C70" s="1138">
        <f t="shared" si="23"/>
        <v>3727</v>
      </c>
      <c r="D70" s="1138">
        <v>371</v>
      </c>
      <c r="E70" s="1138">
        <v>371</v>
      </c>
      <c r="F70" s="1138">
        <v>383</v>
      </c>
      <c r="G70" s="1138">
        <v>277</v>
      </c>
      <c r="H70" s="1138">
        <v>469</v>
      </c>
      <c r="I70" s="1138">
        <v>469</v>
      </c>
      <c r="J70" s="1138">
        <v>57</v>
      </c>
      <c r="K70" s="1138">
        <v>1330</v>
      </c>
      <c r="L70" s="1138"/>
    </row>
    <row r="71" spans="1:19" s="1159" customFormat="1" ht="30" hidden="1" customHeight="1">
      <c r="A71" s="1158"/>
      <c r="B71" s="1149" t="s">
        <v>1065</v>
      </c>
      <c r="C71" s="1150">
        <f t="shared" si="23"/>
        <v>0</v>
      </c>
      <c r="D71" s="1150"/>
      <c r="E71" s="1150"/>
      <c r="F71" s="1150"/>
      <c r="G71" s="1150"/>
      <c r="H71" s="1150"/>
      <c r="I71" s="1150"/>
      <c r="J71" s="1150"/>
      <c r="K71" s="1150"/>
      <c r="L71" s="1150"/>
    </row>
    <row r="72" spans="1:19" s="1145" customFormat="1" ht="46.5" customHeight="1">
      <c r="A72" s="1142">
        <v>7</v>
      </c>
      <c r="B72" s="1143" t="s">
        <v>1084</v>
      </c>
      <c r="C72" s="1134">
        <f t="shared" si="23"/>
        <v>9554</v>
      </c>
      <c r="D72" s="1134">
        <f t="shared" ref="D72:K73" si="26">D75+D78</f>
        <v>1308</v>
      </c>
      <c r="E72" s="1134">
        <f t="shared" si="26"/>
        <v>1308</v>
      </c>
      <c r="F72" s="1134">
        <f t="shared" si="26"/>
        <v>1354</v>
      </c>
      <c r="G72" s="1134">
        <f t="shared" si="26"/>
        <v>978</v>
      </c>
      <c r="H72" s="1134">
        <f t="shared" si="26"/>
        <v>1654</v>
      </c>
      <c r="I72" s="1134">
        <f t="shared" si="26"/>
        <v>1654</v>
      </c>
      <c r="J72" s="1134">
        <f t="shared" si="26"/>
        <v>199</v>
      </c>
      <c r="K72" s="1134">
        <f t="shared" si="26"/>
        <v>1099</v>
      </c>
      <c r="L72" s="1134"/>
      <c r="S72" s="1145">
        <v>55.448932384341639</v>
      </c>
    </row>
    <row r="73" spans="1:19" s="1145" customFormat="1" ht="30" customHeight="1">
      <c r="A73" s="1142"/>
      <c r="B73" s="1147" t="s">
        <v>1062</v>
      </c>
      <c r="C73" s="1134">
        <f t="shared" si="23"/>
        <v>9554</v>
      </c>
      <c r="D73" s="1134">
        <f t="shared" si="26"/>
        <v>1308</v>
      </c>
      <c r="E73" s="1134">
        <f t="shared" si="26"/>
        <v>1308</v>
      </c>
      <c r="F73" s="1134">
        <f t="shared" si="26"/>
        <v>1354</v>
      </c>
      <c r="G73" s="1134">
        <f t="shared" si="26"/>
        <v>978</v>
      </c>
      <c r="H73" s="1134">
        <f t="shared" si="26"/>
        <v>1654</v>
      </c>
      <c r="I73" s="1134">
        <f t="shared" si="26"/>
        <v>1654</v>
      </c>
      <c r="J73" s="1134">
        <f t="shared" si="26"/>
        <v>199</v>
      </c>
      <c r="K73" s="1134">
        <f t="shared" si="26"/>
        <v>1099</v>
      </c>
      <c r="L73" s="1134"/>
    </row>
    <row r="74" spans="1:19" s="1154" customFormat="1" ht="30" hidden="1" customHeight="1">
      <c r="A74" s="1152"/>
      <c r="B74" s="1149" t="s">
        <v>1065</v>
      </c>
      <c r="C74" s="1153">
        <f t="shared" si="23"/>
        <v>0</v>
      </c>
      <c r="D74" s="1153"/>
      <c r="E74" s="1153"/>
      <c r="F74" s="1153"/>
      <c r="G74" s="1153"/>
      <c r="H74" s="1153"/>
      <c r="I74" s="1153"/>
      <c r="J74" s="1153"/>
      <c r="K74" s="1153"/>
      <c r="L74" s="1153"/>
    </row>
    <row r="75" spans="1:19" s="1157" customFormat="1" ht="44.25" customHeight="1">
      <c r="A75" s="1155" t="s">
        <v>333</v>
      </c>
      <c r="B75" s="1156" t="s">
        <v>1085</v>
      </c>
      <c r="C75" s="1138">
        <f t="shared" si="23"/>
        <v>6225</v>
      </c>
      <c r="D75" s="1138">
        <f t="shared" ref="D75:K75" si="27">D76+D77</f>
        <v>940</v>
      </c>
      <c r="E75" s="1138">
        <f t="shared" si="27"/>
        <v>940</v>
      </c>
      <c r="F75" s="1138">
        <f t="shared" si="27"/>
        <v>973</v>
      </c>
      <c r="G75" s="1138">
        <f t="shared" si="27"/>
        <v>703</v>
      </c>
      <c r="H75" s="1138">
        <f t="shared" si="27"/>
        <v>1189</v>
      </c>
      <c r="I75" s="1138">
        <f t="shared" si="27"/>
        <v>1189</v>
      </c>
      <c r="J75" s="1138">
        <f t="shared" si="27"/>
        <v>141</v>
      </c>
      <c r="K75" s="1138">
        <f t="shared" si="27"/>
        <v>150</v>
      </c>
      <c r="L75" s="1138"/>
    </row>
    <row r="76" spans="1:19" s="1157" customFormat="1" ht="30" customHeight="1">
      <c r="A76" s="1155"/>
      <c r="B76" s="1147" t="s">
        <v>1062</v>
      </c>
      <c r="C76" s="1138">
        <f t="shared" si="23"/>
        <v>6225</v>
      </c>
      <c r="D76" s="1138">
        <v>940</v>
      </c>
      <c r="E76" s="1138">
        <v>940</v>
      </c>
      <c r="F76" s="1138">
        <v>973</v>
      </c>
      <c r="G76" s="1138">
        <v>703</v>
      </c>
      <c r="H76" s="1138">
        <v>1189</v>
      </c>
      <c r="I76" s="1138">
        <v>1189</v>
      </c>
      <c r="J76" s="1138">
        <v>141</v>
      </c>
      <c r="K76" s="1138">
        <v>150</v>
      </c>
      <c r="L76" s="1138"/>
    </row>
    <row r="77" spans="1:19" s="1157" customFormat="1" ht="30" hidden="1" customHeight="1">
      <c r="A77" s="1155"/>
      <c r="B77" s="1147" t="s">
        <v>1065</v>
      </c>
      <c r="C77" s="1138"/>
      <c r="D77" s="1138"/>
      <c r="E77" s="1138"/>
      <c r="F77" s="1138"/>
      <c r="G77" s="1138"/>
      <c r="H77" s="1138"/>
      <c r="I77" s="1138"/>
      <c r="J77" s="1138"/>
      <c r="K77" s="1138"/>
      <c r="L77" s="1138"/>
    </row>
    <row r="78" spans="1:19" s="1157" customFormat="1" ht="39.75" customHeight="1">
      <c r="A78" s="1155" t="s">
        <v>1086</v>
      </c>
      <c r="B78" s="1156" t="s">
        <v>1087</v>
      </c>
      <c r="C78" s="1138">
        <f>D78+E78+F78+G78+H78+I78+J78+K78+L78</f>
        <v>3329</v>
      </c>
      <c r="D78" s="1138">
        <f t="shared" ref="D78:K78" si="28">D79+D80</f>
        <v>368</v>
      </c>
      <c r="E78" s="1138">
        <f t="shared" si="28"/>
        <v>368</v>
      </c>
      <c r="F78" s="1138">
        <f t="shared" si="28"/>
        <v>381</v>
      </c>
      <c r="G78" s="1138">
        <f t="shared" si="28"/>
        <v>275</v>
      </c>
      <c r="H78" s="1138">
        <f t="shared" si="28"/>
        <v>465</v>
      </c>
      <c r="I78" s="1138">
        <f t="shared" si="28"/>
        <v>465</v>
      </c>
      <c r="J78" s="1138">
        <f t="shared" si="28"/>
        <v>58</v>
      </c>
      <c r="K78" s="1138">
        <f t="shared" si="28"/>
        <v>949</v>
      </c>
      <c r="L78" s="1138"/>
    </row>
    <row r="79" spans="1:19" ht="30" customHeight="1">
      <c r="A79" s="1169"/>
      <c r="B79" s="1147" t="s">
        <v>1062</v>
      </c>
      <c r="C79" s="1138">
        <f>D79+E79+F79+G79+H79+I79+J79+K79+L79</f>
        <v>3329</v>
      </c>
      <c r="D79" s="1138">
        <v>368</v>
      </c>
      <c r="E79" s="1138">
        <v>368</v>
      </c>
      <c r="F79" s="1138">
        <v>381</v>
      </c>
      <c r="G79" s="1138">
        <v>275</v>
      </c>
      <c r="H79" s="1138">
        <v>465</v>
      </c>
      <c r="I79" s="1138">
        <v>465</v>
      </c>
      <c r="J79" s="1138">
        <v>58</v>
      </c>
      <c r="K79" s="1138">
        <v>949</v>
      </c>
      <c r="L79" s="1170"/>
      <c r="M79" s="1121"/>
    </row>
    <row r="80" spans="1:19" s="1151" customFormat="1" ht="30" hidden="1" customHeight="1">
      <c r="A80" s="1171"/>
      <c r="B80" s="1172" t="s">
        <v>1065</v>
      </c>
      <c r="C80" s="1173">
        <f>D80+E80+F80+G80+H80+I80+J80+K80+L80</f>
        <v>0</v>
      </c>
      <c r="D80" s="1174"/>
      <c r="E80" s="1175"/>
      <c r="F80" s="1175"/>
      <c r="G80" s="1175"/>
      <c r="H80" s="1175"/>
      <c r="I80" s="1175"/>
      <c r="J80" s="1175"/>
      <c r="K80" s="1175"/>
      <c r="L80" s="1175"/>
    </row>
  </sheetData>
  <mergeCells count="16">
    <mergeCell ref="AT53:AV53"/>
    <mergeCell ref="A1:B1"/>
    <mergeCell ref="K1:L1"/>
    <mergeCell ref="A2:L2"/>
    <mergeCell ref="A3:L3"/>
    <mergeCell ref="A4:L4"/>
    <mergeCell ref="A5:A7"/>
    <mergeCell ref="B5:B7"/>
    <mergeCell ref="C5:L5"/>
    <mergeCell ref="C6:C7"/>
    <mergeCell ref="D6:L6"/>
    <mergeCell ref="AE53:AG53"/>
    <mergeCell ref="AH53:AJ53"/>
    <mergeCell ref="AK53:AM53"/>
    <mergeCell ref="AN53:AP53"/>
    <mergeCell ref="AQ53:AS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StartUp</vt:lpstr>
      <vt:lpstr>Biểu 1 Chi tiết</vt:lpstr>
      <vt:lpstr>Ptich ngluc</vt:lpstr>
      <vt:lpstr>Huy dong</vt:lpstr>
      <vt:lpstr>Biểu 2 phân nguồn</vt:lpstr>
      <vt:lpstr>Biểu 03</vt:lpstr>
      <vt:lpstr>SN GN</vt:lpstr>
      <vt:lpstr>DT GNBV</vt:lpstr>
      <vt:lpstr>SN GNBV</vt:lpstr>
      <vt:lpstr>NTM</vt:lpstr>
      <vt:lpstr>KM</vt:lpstr>
      <vt:lpstr>GTNT</vt:lpstr>
      <vt:lpstr>Cầu</vt:lpstr>
      <vt:lpstr>LB</vt:lpstr>
      <vt:lpstr>NH</vt:lpstr>
      <vt:lpstr>CH</vt:lpstr>
      <vt:lpstr>YS</vt:lpstr>
      <vt:lpstr>HY</vt:lpstr>
      <vt:lpstr>TC huyen HY</vt:lpstr>
      <vt:lpstr>SD</vt:lpstr>
      <vt:lpstr>Tín dụng</vt:lpstr>
      <vt:lpstr>Điện</vt:lpstr>
      <vt:lpstr>'Biểu 1 Chi tiết'!Print_Area</vt:lpstr>
      <vt:lpstr>'Biểu 2 phân nguồn'!Print_Area</vt:lpstr>
      <vt:lpstr>Điện!Print_Area</vt:lpstr>
      <vt:lpstr>NH!Print_Area</vt:lpstr>
      <vt:lpstr>'Tín dụng'!Print_Area</vt:lpstr>
      <vt:lpstr>'Biểu 03'!Print_Titles</vt:lpstr>
      <vt:lpstr>'Biểu 1 Chi tiết'!Print_Titles</vt:lpstr>
      <vt:lpstr>'Biểu 2 phân nguồn'!Print_Titles</vt:lpstr>
      <vt:lpstr>Điện!Print_Titles</vt:lpstr>
      <vt:lpstr>'Huy dong'!Print_Titles</vt:lpstr>
      <vt:lpstr>NTM!Print_Titles</vt:lpstr>
      <vt:lpstr>NH!Print_Titles</vt:lpstr>
      <vt:lpstr>'Ptich ngluc'!Print_Titles</vt:lpstr>
      <vt:lpstr>'Tín dụng'!Print_Titles</vt:lpstr>
      <vt:lpstr>YS!Print_Titles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FPT</cp:lastModifiedBy>
  <cp:lastPrinted>2023-04-14T02:30:06Z</cp:lastPrinted>
  <dcterms:created xsi:type="dcterms:W3CDTF">2011-12-19T02:29:27Z</dcterms:created>
  <dcterms:modified xsi:type="dcterms:W3CDTF">2023-04-17T08:26:14Z</dcterms:modified>
</cp:coreProperties>
</file>